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heckCompatibility="1" defaultThemeVersion="124226"/>
  <mc:AlternateContent xmlns:mc="http://schemas.openxmlformats.org/markup-compatibility/2006">
    <mc:Choice Requires="x15">
      <x15ac:absPath xmlns:x15ac="http://schemas.microsoft.com/office/spreadsheetml/2010/11/ac" url="https://unitednations-my.sharepoint.com/personal/kamran_niaz_un_org/Documents/WDR 2020/PWID_HIV etc/"/>
    </mc:Choice>
  </mc:AlternateContent>
  <xr:revisionPtr revIDLastSave="2" documentId="8_{9E9ADF6F-B3C2-409C-B013-6980BFDAA78F}" xr6:coauthVersionLast="44" xr6:coauthVersionMax="44" xr10:uidLastSave="{0F561EB1-93AA-4DAA-8586-475B5BF48FC8}"/>
  <bookViews>
    <workbookView xWindow="-120" yWindow="-120" windowWidth="29040" windowHeight="15840" tabRatio="810" activeTab="5" xr2:uid="{00000000-000D-0000-FFFF-FFFF00000000}"/>
  </bookViews>
  <sheets>
    <sheet name="NOTES" sheetId="11" r:id="rId1"/>
    <sheet name="PWID-sub-regional" sheetId="12" r:id="rId2"/>
    <sheet name="HIV sub-regional" sheetId="13" r:id="rId3"/>
    <sheet name="HCV sub-regional" sheetId="14" r:id="rId4"/>
    <sheet name="HBV sub-regional" sheetId="15" r:id="rId5"/>
    <sheet name="Regional summary" sheetId="16" r:id="rId6"/>
  </sheets>
  <definedNames>
    <definedName name="_ftn1" localSheetId="0">NOTES!$C$29</definedName>
    <definedName name="_ftnref1" localSheetId="0">NOTES!$C$4</definedName>
    <definedName name="OLE_LINK1" localSheetId="0">NOTES!$D$23</definedName>
    <definedName name="_xlnm.Print_Area" localSheetId="0">NOTES!$B$1:$S$32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4" i="12" l="1"/>
  <c r="J222" i="12" l="1"/>
  <c r="G270" i="15" l="1"/>
  <c r="G233" i="15"/>
  <c r="J295" i="12"/>
  <c r="J278" i="12"/>
  <c r="J277" i="12"/>
  <c r="J276" i="12"/>
  <c r="K271" i="12"/>
  <c r="J271" i="12"/>
  <c r="I271" i="12"/>
  <c r="J270" i="12"/>
  <c r="J269" i="12"/>
  <c r="J268" i="12"/>
  <c r="K266" i="12"/>
  <c r="I266" i="12"/>
  <c r="J263" i="12"/>
  <c r="J262" i="12"/>
  <c r="K257" i="12"/>
  <c r="J257" i="12"/>
  <c r="I257" i="12"/>
  <c r="J254" i="12"/>
  <c r="K252" i="12"/>
  <c r="I252" i="12"/>
  <c r="J235" i="12"/>
  <c r="K248" i="12"/>
  <c r="J248" i="12"/>
  <c r="I248" i="12"/>
  <c r="K247" i="12"/>
  <c r="I247" i="12"/>
  <c r="M234" i="12"/>
  <c r="J234" i="12" s="1"/>
  <c r="J245" i="12"/>
  <c r="J233" i="12"/>
  <c r="K244" i="12"/>
  <c r="J244" i="12"/>
  <c r="I244" i="12"/>
  <c r="J242" i="12"/>
  <c r="K232" i="12"/>
  <c r="I232" i="12"/>
  <c r="K240" i="12"/>
  <c r="I240" i="12"/>
  <c r="K225" i="12"/>
  <c r="J225" i="12"/>
  <c r="I225" i="12"/>
  <c r="K224" i="12"/>
  <c r="I224" i="12"/>
  <c r="K221" i="12"/>
  <c r="J221" i="12"/>
  <c r="I221" i="12"/>
  <c r="J208" i="12"/>
  <c r="K206" i="12"/>
  <c r="J206" i="12"/>
  <c r="I206" i="12"/>
  <c r="J205" i="12"/>
  <c r="K198" i="12"/>
  <c r="J198" i="12"/>
  <c r="I198" i="12"/>
  <c r="K197" i="12"/>
  <c r="J197" i="12"/>
  <c r="I197" i="12"/>
  <c r="K184" i="12"/>
  <c r="J184" i="12"/>
  <c r="I184" i="12"/>
  <c r="J183" i="12"/>
  <c r="J182" i="12"/>
  <c r="K180" i="12"/>
  <c r="J180" i="12"/>
  <c r="I180" i="12"/>
  <c r="K179" i="12"/>
  <c r="J179" i="12"/>
  <c r="I179" i="12"/>
  <c r="J178" i="12"/>
  <c r="K176" i="12"/>
  <c r="J176" i="12"/>
  <c r="I176" i="12"/>
  <c r="J175" i="12"/>
  <c r="J174" i="12"/>
  <c r="K173" i="12"/>
  <c r="J173" i="12"/>
  <c r="I173" i="12"/>
  <c r="K172" i="12"/>
  <c r="J172" i="12"/>
  <c r="I172" i="12"/>
  <c r="J165" i="12"/>
  <c r="J164" i="12"/>
  <c r="K163" i="12"/>
  <c r="J163" i="12"/>
  <c r="I163" i="12"/>
  <c r="J162" i="12"/>
  <c r="J160" i="12"/>
  <c r="J159" i="12"/>
  <c r="K128" i="12"/>
  <c r="I128" i="12"/>
  <c r="J115" i="12"/>
  <c r="J114" i="12"/>
  <c r="K110" i="12"/>
  <c r="I110" i="12"/>
  <c r="J99" i="12"/>
  <c r="J98" i="12"/>
  <c r="J97" i="12"/>
  <c r="K89" i="12"/>
  <c r="J89" i="12"/>
  <c r="I89" i="12"/>
  <c r="J88" i="12"/>
  <c r="K87" i="12"/>
  <c r="J87" i="12"/>
  <c r="I87" i="12"/>
  <c r="J69" i="12"/>
  <c r="J68" i="12"/>
  <c r="J67" i="12"/>
  <c r="K65" i="12"/>
  <c r="I65" i="12"/>
  <c r="J64" i="12"/>
  <c r="J63" i="12"/>
  <c r="J62" i="12"/>
  <c r="J61" i="12"/>
  <c r="K60" i="12"/>
  <c r="I60" i="12"/>
  <c r="J59" i="12"/>
  <c r="J58" i="12"/>
  <c r="J57" i="12"/>
  <c r="J44" i="12"/>
  <c r="K43" i="12"/>
  <c r="J43" i="12"/>
  <c r="I43" i="12"/>
  <c r="M42" i="12"/>
  <c r="J42" i="12" s="1"/>
  <c r="J41" i="12"/>
  <c r="J33" i="12"/>
  <c r="J15" i="12"/>
  <c r="J32" i="12"/>
  <c r="K17" i="12"/>
  <c r="J17" i="12"/>
  <c r="I17" i="12"/>
  <c r="K16" i="12"/>
  <c r="J16" i="12"/>
  <c r="I16" i="12"/>
  <c r="K14" i="12"/>
  <c r="J14" i="12"/>
  <c r="I14" i="12"/>
  <c r="K13" i="12"/>
  <c r="I13" i="12"/>
  <c r="K12" i="12"/>
  <c r="J12" i="12"/>
  <c r="I12" i="12"/>
  <c r="J11" i="12"/>
  <c r="K10" i="12"/>
  <c r="J10" i="12"/>
  <c r="I10" i="12"/>
</calcChain>
</file>

<file path=xl/sharedStrings.xml><?xml version="1.0" encoding="utf-8"?>
<sst xmlns="http://schemas.openxmlformats.org/spreadsheetml/2006/main" count="7776" uniqueCount="1672">
  <si>
    <t>State of Palestine</t>
  </si>
  <si>
    <t>Libya</t>
  </si>
  <si>
    <t>Curaçao</t>
  </si>
  <si>
    <t>South Sudan</t>
  </si>
  <si>
    <t>CUW</t>
  </si>
  <si>
    <t>SXM</t>
  </si>
  <si>
    <t>Notes</t>
  </si>
  <si>
    <t>Treatment and other register of drug users</t>
  </si>
  <si>
    <t>Method</t>
  </si>
  <si>
    <t>NASCOP/UNODC/UNAIDS</t>
  </si>
  <si>
    <t>UNODC/ICHIRA, 2011: Rapid Situational Assessment of HIV Prevalence and Risky Behaviours among Injecting Drug Users in Kenya, 2011.</t>
  </si>
  <si>
    <t>ONDCP</t>
  </si>
  <si>
    <t>Published article</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</si>
  <si>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</si>
  <si>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Respondent Driven Sampling conducted in Tripoli</t>
  </si>
  <si>
    <t>Journal article</t>
  </si>
  <si>
    <t>Admissions to treatment</t>
  </si>
  <si>
    <t>National HIV Serological Surveillance, 2011 Bangladesh. 9th Round Technical Report.  National AIDS/STD Program (NASP), Directorate General of Health Services. Ministry of Health and Family Welfare</t>
  </si>
  <si>
    <t>Mathers, B., L. Degenhardt, et al. (2008). "Global epidemiology of injecting drug use and HIV among people who inject drugs: a systematic review." The Lancet 372(9651): 1733-1745</t>
  </si>
  <si>
    <t>Government report</t>
  </si>
  <si>
    <t>2001-2009</t>
  </si>
  <si>
    <t>Disease Control Division, Department of Health Services surveillance data</t>
  </si>
  <si>
    <t>UNAIDS AIDSinfo Atlas</t>
  </si>
  <si>
    <t>MOHF, Mapping Most-At-Risk Populations for HIV prevention in the Maldives.(Draft)</t>
  </si>
  <si>
    <t>Class</t>
  </si>
  <si>
    <t>Seroprevalence study</t>
  </si>
  <si>
    <t>Team of authors (2012). National report on the drug situation in the Republic of Uzbekistan 2012 (Drug situation in 2011) (Ed. Mravcik, V). National centre on drug control under the Cabinet of Ministers of the Republic of Uzbekistan / CADAP</t>
  </si>
  <si>
    <t>People Who Inject Drugs</t>
  </si>
  <si>
    <t>AFRICA</t>
  </si>
  <si>
    <t>COM</t>
  </si>
  <si>
    <t>Comoros</t>
  </si>
  <si>
    <t>KEN</t>
  </si>
  <si>
    <t>Kenya</t>
  </si>
  <si>
    <t>MDG</t>
  </si>
  <si>
    <t>Madagascar</t>
  </si>
  <si>
    <t>MUS</t>
  </si>
  <si>
    <t>Mauritius</t>
  </si>
  <si>
    <t>SYC</t>
  </si>
  <si>
    <t>Seychelles</t>
  </si>
  <si>
    <t>SOM</t>
  </si>
  <si>
    <t>Somalia</t>
  </si>
  <si>
    <t>BDI</t>
  </si>
  <si>
    <t>Burundi</t>
  </si>
  <si>
    <t>DJI</t>
  </si>
  <si>
    <t>Djibouti</t>
  </si>
  <si>
    <t>ERI</t>
  </si>
  <si>
    <t>Eritrea</t>
  </si>
  <si>
    <t>ETH</t>
  </si>
  <si>
    <t>Ethiopia</t>
  </si>
  <si>
    <t>RWA</t>
  </si>
  <si>
    <t>Rwanda</t>
  </si>
  <si>
    <t>TZA</t>
  </si>
  <si>
    <t>UGA</t>
  </si>
  <si>
    <t>Uganda</t>
  </si>
  <si>
    <t>REU</t>
  </si>
  <si>
    <t>Réunion</t>
  </si>
  <si>
    <t>North Africa</t>
  </si>
  <si>
    <t>DZA</t>
  </si>
  <si>
    <t>Algeria</t>
  </si>
  <si>
    <t>EGY</t>
  </si>
  <si>
    <t>Egypt</t>
  </si>
  <si>
    <t>MAR</t>
  </si>
  <si>
    <t>Morocco</t>
  </si>
  <si>
    <t>LBY</t>
  </si>
  <si>
    <t>TUN</t>
  </si>
  <si>
    <t>Tunisia</t>
  </si>
  <si>
    <t>SDN</t>
  </si>
  <si>
    <t>Sudan</t>
  </si>
  <si>
    <t>NAM</t>
  </si>
  <si>
    <t>Namibia</t>
  </si>
  <si>
    <t>ZAF</t>
  </si>
  <si>
    <t>South Africa</t>
  </si>
  <si>
    <t>ZMB</t>
  </si>
  <si>
    <t>Zambia</t>
  </si>
  <si>
    <t>ZWE</t>
  </si>
  <si>
    <t>Zimbabwe</t>
  </si>
  <si>
    <t>AGO</t>
  </si>
  <si>
    <t>Angola</t>
  </si>
  <si>
    <t>BWA</t>
  </si>
  <si>
    <t>Botswana</t>
  </si>
  <si>
    <t>LSO</t>
  </si>
  <si>
    <t>Lesotho</t>
  </si>
  <si>
    <t>MWI</t>
  </si>
  <si>
    <t>Malawi</t>
  </si>
  <si>
    <t>MOZ</t>
  </si>
  <si>
    <t>Mozambique</t>
  </si>
  <si>
    <t>SWZ</t>
  </si>
  <si>
    <t>West and Central Africa</t>
  </si>
  <si>
    <t>BFA</t>
  </si>
  <si>
    <t>Burkina Faso</t>
  </si>
  <si>
    <t>CPV</t>
  </si>
  <si>
    <t>LBR</t>
  </si>
  <si>
    <t>Liberia</t>
  </si>
  <si>
    <t>NGA</t>
  </si>
  <si>
    <t>Nigeria</t>
  </si>
  <si>
    <t>SLE</t>
  </si>
  <si>
    <t>Sierra Leone</t>
  </si>
  <si>
    <t>TGO</t>
  </si>
  <si>
    <t>Togo</t>
  </si>
  <si>
    <t>BEN</t>
  </si>
  <si>
    <t>Benin</t>
  </si>
  <si>
    <t>Patients who are enrolled in OST</t>
  </si>
  <si>
    <t>CMR</t>
  </si>
  <si>
    <t>Cameroon</t>
  </si>
  <si>
    <t>CAF</t>
  </si>
  <si>
    <t>Central African Republic</t>
  </si>
  <si>
    <t>TCD</t>
  </si>
  <si>
    <t>Chad</t>
  </si>
  <si>
    <t>COG</t>
  </si>
  <si>
    <t>Congo</t>
  </si>
  <si>
    <t>COD</t>
  </si>
  <si>
    <t>CIV</t>
  </si>
  <si>
    <t>Côte d'Ivoire</t>
  </si>
  <si>
    <t>GNQ</t>
  </si>
  <si>
    <t>Equatorial Guinea</t>
  </si>
  <si>
    <t>GAB</t>
  </si>
  <si>
    <t>Gabon</t>
  </si>
  <si>
    <t>GMB</t>
  </si>
  <si>
    <t>Gambia</t>
  </si>
  <si>
    <t>GHA</t>
  </si>
  <si>
    <t>Ghana</t>
  </si>
  <si>
    <t>GIN</t>
  </si>
  <si>
    <t>Guinea</t>
  </si>
  <si>
    <t>GNB</t>
  </si>
  <si>
    <t>Guinea-Bissau</t>
  </si>
  <si>
    <t>MLI</t>
  </si>
  <si>
    <t>Mali</t>
  </si>
  <si>
    <t>MRT</t>
  </si>
  <si>
    <t>Mauritania</t>
  </si>
  <si>
    <t>NER</t>
  </si>
  <si>
    <t>Niger</t>
  </si>
  <si>
    <t>SHN</t>
  </si>
  <si>
    <t>Saint Helena</t>
  </si>
  <si>
    <t>STP</t>
  </si>
  <si>
    <t>Sao Tome and Principe</t>
  </si>
  <si>
    <t>SEN</t>
  </si>
  <si>
    <t>Senegal</t>
  </si>
  <si>
    <t>AMERICA</t>
  </si>
  <si>
    <t>BLZ</t>
  </si>
  <si>
    <t>Belize</t>
  </si>
  <si>
    <t>CRI</t>
  </si>
  <si>
    <t>Costa Rica</t>
  </si>
  <si>
    <t>SLV</t>
  </si>
  <si>
    <t>El Salvador</t>
  </si>
  <si>
    <t>GTM</t>
  </si>
  <si>
    <t>Guatemala</t>
  </si>
  <si>
    <t>HND</t>
  </si>
  <si>
    <t>Honduras</t>
  </si>
  <si>
    <t>NIC</t>
  </si>
  <si>
    <t>Nicaragua</t>
  </si>
  <si>
    <t>PAN</t>
  </si>
  <si>
    <t>Panama</t>
  </si>
  <si>
    <t>North America</t>
  </si>
  <si>
    <t>CAN</t>
  </si>
  <si>
    <t>Canada</t>
  </si>
  <si>
    <t>MEX</t>
  </si>
  <si>
    <t>Mexico</t>
  </si>
  <si>
    <t>USA</t>
  </si>
  <si>
    <t>United States of America</t>
  </si>
  <si>
    <t>South America</t>
  </si>
  <si>
    <t>ARG</t>
  </si>
  <si>
    <t>Argentina</t>
  </si>
  <si>
    <t>BOL</t>
  </si>
  <si>
    <t>Bolivia (Plurinational State of)</t>
  </si>
  <si>
    <t>BRA</t>
  </si>
  <si>
    <t>Brazil</t>
  </si>
  <si>
    <t>CHL</t>
  </si>
  <si>
    <t>Chile</t>
  </si>
  <si>
    <t>COL</t>
  </si>
  <si>
    <t>Colombia</t>
  </si>
  <si>
    <t>ECU</t>
  </si>
  <si>
    <t>Ecuador</t>
  </si>
  <si>
    <t>GUY</t>
  </si>
  <si>
    <t>Guyana</t>
  </si>
  <si>
    <t>PRY</t>
  </si>
  <si>
    <t>Paraguay</t>
  </si>
  <si>
    <t>PER</t>
  </si>
  <si>
    <t>Peru</t>
  </si>
  <si>
    <t>SUR</t>
  </si>
  <si>
    <t>Suriname</t>
  </si>
  <si>
    <t>URY</t>
  </si>
  <si>
    <t>Uruguay</t>
  </si>
  <si>
    <t>VEN</t>
  </si>
  <si>
    <t>Venezuela (Bolivarian Republic of)</t>
  </si>
  <si>
    <t>FLK</t>
  </si>
  <si>
    <t>Falkland Islands (Malvinas)</t>
  </si>
  <si>
    <t>GUF</t>
  </si>
  <si>
    <t>French Guiana</t>
  </si>
  <si>
    <t>ATG</t>
  </si>
  <si>
    <t>Antigua and Barbuda</t>
  </si>
  <si>
    <t>BHS</t>
  </si>
  <si>
    <t>Bahamas</t>
  </si>
  <si>
    <t>BRB</t>
  </si>
  <si>
    <t>Barbados</t>
  </si>
  <si>
    <t>BMU</t>
  </si>
  <si>
    <t>Bermuda</t>
  </si>
  <si>
    <t>DMA</t>
  </si>
  <si>
    <t>Dominica</t>
  </si>
  <si>
    <t>DOM</t>
  </si>
  <si>
    <t>Dominican Republic</t>
  </si>
  <si>
    <t>GRD</t>
  </si>
  <si>
    <t>Grenada</t>
  </si>
  <si>
    <t>HTI</t>
  </si>
  <si>
    <t>Haiti</t>
  </si>
  <si>
    <t>JAM</t>
  </si>
  <si>
    <t>Jamaica</t>
  </si>
  <si>
    <t>PRI</t>
  </si>
  <si>
    <t>Puerto Rico</t>
  </si>
  <si>
    <t>KNA</t>
  </si>
  <si>
    <t>Saint Kitts and Nevis</t>
  </si>
  <si>
    <t>LCA</t>
  </si>
  <si>
    <t>Saint Lucia</t>
  </si>
  <si>
    <t>VCT</t>
  </si>
  <si>
    <t>Saint Vincent and the Grenadines</t>
  </si>
  <si>
    <t>TTO</t>
  </si>
  <si>
    <t>Trinidad and Tobago</t>
  </si>
  <si>
    <t>TCA</t>
  </si>
  <si>
    <t>Turks and Caicos Islands</t>
  </si>
  <si>
    <t>AIA</t>
  </si>
  <si>
    <t>Anguilla</t>
  </si>
  <si>
    <t>ABW</t>
  </si>
  <si>
    <t>Aruba</t>
  </si>
  <si>
    <t>VGB</t>
  </si>
  <si>
    <t>British Virgin Islands</t>
  </si>
  <si>
    <t>CYM</t>
  </si>
  <si>
    <t>Cayman Islands</t>
  </si>
  <si>
    <t>CUB</t>
  </si>
  <si>
    <t>Cuba</t>
  </si>
  <si>
    <t>GLP</t>
  </si>
  <si>
    <t>Guadeloupe</t>
  </si>
  <si>
    <t>MTQ</t>
  </si>
  <si>
    <t>Martinique</t>
  </si>
  <si>
    <t>MSR</t>
  </si>
  <si>
    <t>Montserrat</t>
  </si>
  <si>
    <t>VIR</t>
  </si>
  <si>
    <t>United States Virgin Islands</t>
  </si>
  <si>
    <t>ASIA</t>
  </si>
  <si>
    <t>Central Asia and Transcaucasia</t>
  </si>
  <si>
    <t>ARM</t>
  </si>
  <si>
    <t>Armenia</t>
  </si>
  <si>
    <t>AZE</t>
  </si>
  <si>
    <t>Azerbaijan</t>
  </si>
  <si>
    <t>GEO</t>
  </si>
  <si>
    <t>Georgia</t>
  </si>
  <si>
    <t>KAZ</t>
  </si>
  <si>
    <t>Kazakhstan</t>
  </si>
  <si>
    <t>UZB</t>
  </si>
  <si>
    <t>Uzbekistan</t>
  </si>
  <si>
    <t>KGZ</t>
  </si>
  <si>
    <t>Kyrgyzstan</t>
  </si>
  <si>
    <t>TJK</t>
  </si>
  <si>
    <t>Tajikistan</t>
  </si>
  <si>
    <t>TKM</t>
  </si>
  <si>
    <t>Turkmenistan</t>
  </si>
  <si>
    <t>East and South-East Asia</t>
  </si>
  <si>
    <t>KHM</t>
  </si>
  <si>
    <t>Cambodia</t>
  </si>
  <si>
    <t>HKG</t>
  </si>
  <si>
    <t>China, Hong Kong SAR</t>
  </si>
  <si>
    <t>MAC</t>
  </si>
  <si>
    <t>China, Macao SAR</t>
  </si>
  <si>
    <t>IDN</t>
  </si>
  <si>
    <t>Indonesia</t>
  </si>
  <si>
    <t>JPN</t>
  </si>
  <si>
    <t>Japan</t>
  </si>
  <si>
    <t>KOR</t>
  </si>
  <si>
    <t>LAO</t>
  </si>
  <si>
    <t>Lao People's Democratic Republic</t>
  </si>
  <si>
    <t>MYS</t>
  </si>
  <si>
    <t>Malaysia</t>
  </si>
  <si>
    <t>MMR</t>
  </si>
  <si>
    <t>Myanmar</t>
  </si>
  <si>
    <t>PHL</t>
  </si>
  <si>
    <t>Philippines</t>
  </si>
  <si>
    <t>TWN</t>
  </si>
  <si>
    <t>THA</t>
  </si>
  <si>
    <t>Thailand</t>
  </si>
  <si>
    <t>VNM</t>
  </si>
  <si>
    <t>Viet Nam</t>
  </si>
  <si>
    <t>BRN</t>
  </si>
  <si>
    <t>Brunei Darussalam</t>
  </si>
  <si>
    <t>CHN</t>
  </si>
  <si>
    <t>China</t>
  </si>
  <si>
    <t>PRK</t>
  </si>
  <si>
    <t>MNG</t>
  </si>
  <si>
    <t>Mongolia</t>
  </si>
  <si>
    <t>SGP</t>
  </si>
  <si>
    <t>Singapore</t>
  </si>
  <si>
    <t>TLS</t>
  </si>
  <si>
    <t>Timor-Leste</t>
  </si>
  <si>
    <t>AFG</t>
  </si>
  <si>
    <t>Afghanistan</t>
  </si>
  <si>
    <t>ISR</t>
  </si>
  <si>
    <t>Israel</t>
  </si>
  <si>
    <t>JOR</t>
  </si>
  <si>
    <t>Jordan</t>
  </si>
  <si>
    <t>KWT</t>
  </si>
  <si>
    <t>Kuwait</t>
  </si>
  <si>
    <t>LBN</t>
  </si>
  <si>
    <t>Lebanon</t>
  </si>
  <si>
    <t>SAU</t>
  </si>
  <si>
    <t>Saudi Arabia</t>
  </si>
  <si>
    <t>ARE</t>
  </si>
  <si>
    <t>United Arab Emirates</t>
  </si>
  <si>
    <t>BHR</t>
  </si>
  <si>
    <t>Bahrain</t>
  </si>
  <si>
    <t>IRN</t>
  </si>
  <si>
    <t>Iran (Islamic Republic of)</t>
  </si>
  <si>
    <t>IRQ</t>
  </si>
  <si>
    <t>Iraq</t>
  </si>
  <si>
    <t>PSE</t>
  </si>
  <si>
    <t>OMN</t>
  </si>
  <si>
    <t>Oman</t>
  </si>
  <si>
    <t>PAK</t>
  </si>
  <si>
    <t>Pakistan</t>
  </si>
  <si>
    <t>QAT</t>
  </si>
  <si>
    <t>Qatar</t>
  </si>
  <si>
    <t>SYR</t>
  </si>
  <si>
    <t>Syrian Arab Republic</t>
  </si>
  <si>
    <t>YEM</t>
  </si>
  <si>
    <t>Yemen</t>
  </si>
  <si>
    <t>South Asia</t>
  </si>
  <si>
    <t>BGD</t>
  </si>
  <si>
    <t>Bangladesh</t>
  </si>
  <si>
    <t>BTN</t>
  </si>
  <si>
    <t>Bhutan</t>
  </si>
  <si>
    <t>IND</t>
  </si>
  <si>
    <t>India</t>
  </si>
  <si>
    <t>MDV</t>
  </si>
  <si>
    <t>Maldives</t>
  </si>
  <si>
    <t>LKA</t>
  </si>
  <si>
    <t>Sri Lanka</t>
  </si>
  <si>
    <t>NPL</t>
  </si>
  <si>
    <t>Nepal</t>
  </si>
  <si>
    <t>EUROPE</t>
  </si>
  <si>
    <t>ALB</t>
  </si>
  <si>
    <t>Albania</t>
  </si>
  <si>
    <t>BLR</t>
  </si>
  <si>
    <t>Belarus</t>
  </si>
  <si>
    <t>BIH</t>
  </si>
  <si>
    <t>Bosnia and Herzegovina</t>
  </si>
  <si>
    <t>BGR</t>
  </si>
  <si>
    <t>Bulgaria</t>
  </si>
  <si>
    <t>HRV</t>
  </si>
  <si>
    <t>Croatia</t>
  </si>
  <si>
    <t>MKD</t>
  </si>
  <si>
    <t>MDA</t>
  </si>
  <si>
    <t>MNE</t>
  </si>
  <si>
    <t>Montenegro</t>
  </si>
  <si>
    <t>ROU</t>
  </si>
  <si>
    <t>Romania</t>
  </si>
  <si>
    <t>RUS</t>
  </si>
  <si>
    <t>Russian Federation</t>
  </si>
  <si>
    <t>SRB</t>
  </si>
  <si>
    <t>Serbia</t>
  </si>
  <si>
    <t>TUR</t>
  </si>
  <si>
    <t>Turkey</t>
  </si>
  <si>
    <t>UKR</t>
  </si>
  <si>
    <t>Ukraine</t>
  </si>
  <si>
    <t>AND</t>
  </si>
  <si>
    <t>Andorra</t>
  </si>
  <si>
    <t>AUT</t>
  </si>
  <si>
    <t>Austria</t>
  </si>
  <si>
    <t>BEL</t>
  </si>
  <si>
    <t>Belgium</t>
  </si>
  <si>
    <t>CYP</t>
  </si>
  <si>
    <t>Cyprus</t>
  </si>
  <si>
    <t>CZE</t>
  </si>
  <si>
    <t>DNK</t>
  </si>
  <si>
    <t>Denmark</t>
  </si>
  <si>
    <t>EST</t>
  </si>
  <si>
    <t>Estonia</t>
  </si>
  <si>
    <t>FRO</t>
  </si>
  <si>
    <t>FIN</t>
  </si>
  <si>
    <t>Finland</t>
  </si>
  <si>
    <t>FRA</t>
  </si>
  <si>
    <t>France</t>
  </si>
  <si>
    <t>DEU</t>
  </si>
  <si>
    <t>Germany</t>
  </si>
  <si>
    <t>GIB</t>
  </si>
  <si>
    <t>Gibraltar</t>
  </si>
  <si>
    <t>GRC</t>
  </si>
  <si>
    <t>Greece</t>
  </si>
  <si>
    <t>GRL</t>
  </si>
  <si>
    <t>Greenland</t>
  </si>
  <si>
    <t>HUN</t>
  </si>
  <si>
    <t>Hungary</t>
  </si>
  <si>
    <t>ISL</t>
  </si>
  <si>
    <t>Iceland</t>
  </si>
  <si>
    <t>IRL</t>
  </si>
  <si>
    <t>Ireland</t>
  </si>
  <si>
    <t>IMY</t>
  </si>
  <si>
    <t>Isle of Man</t>
  </si>
  <si>
    <t>ITA</t>
  </si>
  <si>
    <t>Italy</t>
  </si>
  <si>
    <t>LVA</t>
  </si>
  <si>
    <t>Latvia</t>
  </si>
  <si>
    <t>LIE</t>
  </si>
  <si>
    <t>Liechtenstein</t>
  </si>
  <si>
    <t>LTU</t>
  </si>
  <si>
    <t>Lithuania</t>
  </si>
  <si>
    <t>LUX</t>
  </si>
  <si>
    <t>Luxembourg</t>
  </si>
  <si>
    <t>MLT</t>
  </si>
  <si>
    <t>Malta</t>
  </si>
  <si>
    <t>MCO</t>
  </si>
  <si>
    <t>Monaco</t>
  </si>
  <si>
    <t>NLD</t>
  </si>
  <si>
    <t>Netherlands</t>
  </si>
  <si>
    <t>NOR</t>
  </si>
  <si>
    <t>Norway</t>
  </si>
  <si>
    <t>POL</t>
  </si>
  <si>
    <t>Poland</t>
  </si>
  <si>
    <t>PRT</t>
  </si>
  <si>
    <t>Portugal</t>
  </si>
  <si>
    <t>ESP</t>
  </si>
  <si>
    <t>Spain</t>
  </si>
  <si>
    <t>SVK</t>
  </si>
  <si>
    <t>Slovakia</t>
  </si>
  <si>
    <t>SVN</t>
  </si>
  <si>
    <t>Slovenia</t>
  </si>
  <si>
    <t>SWE</t>
  </si>
  <si>
    <t>Sweden</t>
  </si>
  <si>
    <t>CHE</t>
  </si>
  <si>
    <t>Switzerland</t>
  </si>
  <si>
    <t>United Kingdom (Scotland)</t>
  </si>
  <si>
    <t>GBR</t>
  </si>
  <si>
    <t>United Kingdom</t>
  </si>
  <si>
    <t>SMR</t>
  </si>
  <si>
    <t>San Marino</t>
  </si>
  <si>
    <t>CHI</t>
  </si>
  <si>
    <t>Channel Islands</t>
  </si>
  <si>
    <t>OCEANIA</t>
  </si>
  <si>
    <t>ASM</t>
  </si>
  <si>
    <t>American Samoa</t>
  </si>
  <si>
    <t>AUS</t>
  </si>
  <si>
    <t>Australia</t>
  </si>
  <si>
    <t>FJI</t>
  </si>
  <si>
    <t>Fiji</t>
  </si>
  <si>
    <t>GUM</t>
  </si>
  <si>
    <t>Guam</t>
  </si>
  <si>
    <t>MHL</t>
  </si>
  <si>
    <t>Marshall Islands</t>
  </si>
  <si>
    <t>NZL</t>
  </si>
  <si>
    <t>New Zealand</t>
  </si>
  <si>
    <t>MNP</t>
  </si>
  <si>
    <t>Northern Mariana Islands</t>
  </si>
  <si>
    <t>PLW</t>
  </si>
  <si>
    <t>Palau</t>
  </si>
  <si>
    <t>COK</t>
  </si>
  <si>
    <t>Cook Islands</t>
  </si>
  <si>
    <t>PYF</t>
  </si>
  <si>
    <t>French Polynesia</t>
  </si>
  <si>
    <t>KIR</t>
  </si>
  <si>
    <t>Kiribati</t>
  </si>
  <si>
    <t>FSM</t>
  </si>
  <si>
    <t>Micronesia (Federated States of)</t>
  </si>
  <si>
    <t>NRU</t>
  </si>
  <si>
    <t>Nauru</t>
  </si>
  <si>
    <t>NCL</t>
  </si>
  <si>
    <t>New Caledonia</t>
  </si>
  <si>
    <t>PNG</t>
  </si>
  <si>
    <t>Papua New Guinea</t>
  </si>
  <si>
    <t>WSM</t>
  </si>
  <si>
    <t>Samoa</t>
  </si>
  <si>
    <t>SLB</t>
  </si>
  <si>
    <t>Solomon Islands</t>
  </si>
  <si>
    <t>TON</t>
  </si>
  <si>
    <t>Tonga</t>
  </si>
  <si>
    <t>TUV</t>
  </si>
  <si>
    <t>Tuvalu</t>
  </si>
  <si>
    <t>VUT</t>
  </si>
  <si>
    <t>Vanuatu</t>
  </si>
  <si>
    <t>WLF</t>
  </si>
  <si>
    <t>Wallis and Futuna Islands</t>
  </si>
  <si>
    <t>Oceania</t>
  </si>
  <si>
    <t>Region</t>
  </si>
  <si>
    <t>Subregion</t>
  </si>
  <si>
    <t>Code</t>
  </si>
  <si>
    <t>GARPR</t>
  </si>
  <si>
    <t>ARQ</t>
  </si>
  <si>
    <t>Caribbean</t>
  </si>
  <si>
    <t>Mathers, B., L. Degenhardt, et al. (2008). "Global epidemiology of injecting drug use and HIV among people who inject drugs: a systematic review." The Lancet 372(9651): 1733-1745.</t>
  </si>
  <si>
    <t>Government Source</t>
  </si>
  <si>
    <t>EMCDDA</t>
  </si>
  <si>
    <t>Prevalence (%)</t>
  </si>
  <si>
    <t>Reference</t>
  </si>
  <si>
    <t>low</t>
  </si>
  <si>
    <t>medium</t>
  </si>
  <si>
    <t>high</t>
  </si>
  <si>
    <t>1994-1995</t>
  </si>
  <si>
    <t/>
  </si>
  <si>
    <t>15-64</t>
  </si>
  <si>
    <t>Mayotte</t>
  </si>
  <si>
    <t>United Republic of Tanzania</t>
  </si>
  <si>
    <t>Democratic Republic of the Congo</t>
  </si>
  <si>
    <t>Republic of Korea</t>
  </si>
  <si>
    <t>Republic of Moldova</t>
  </si>
  <si>
    <t>Africa</t>
  </si>
  <si>
    <t>Asia</t>
  </si>
  <si>
    <t>Europe</t>
  </si>
  <si>
    <t>Americas</t>
  </si>
  <si>
    <t>Nelson, P., Mathers, B.M., et.al., Global epidemiology of hepatitis B and hepatitis C in people who inject drugs: results of systematic reviews. Lancet 2011:378:571-83</t>
  </si>
  <si>
    <t>2006-07</t>
  </si>
  <si>
    <t>2004-05</t>
  </si>
  <si>
    <t>Source</t>
  </si>
  <si>
    <t>Government/ UNODC</t>
  </si>
  <si>
    <t xml:space="preserve">EMCDDA </t>
  </si>
  <si>
    <t xml:space="preserve"> </t>
  </si>
  <si>
    <t>2010/11</t>
  </si>
  <si>
    <t>Ministry of Health</t>
  </si>
  <si>
    <t>Center for Mental Health and Prevention of Addiction</t>
  </si>
  <si>
    <t>Number</t>
  </si>
  <si>
    <t xml:space="preserve"> CDC China (National Center for AIDS Prevention and Control, NCAIDS)</t>
  </si>
  <si>
    <t>UNAIDS</t>
  </si>
  <si>
    <t>Multiple Methods</t>
  </si>
  <si>
    <t>UNGASS Country Progress Report 2012. Kingdom of Bahrain. Reporting period: January 2010 – December 2011 Submission date: March 31, 2012</t>
  </si>
  <si>
    <t>Haghdoost, A, Sadjadi, L, Mirzazadeh, A, &amp; Navadeh, S. (2012). Behavioral and Serologic Surveillance of Injecting Drug Users and their Primary Sex Partners in Tehran Shiraz and Mashhad in 2010 [In Persian]: Ministry of Health and Medical Education, Center for Communicable Disease Management (CDC), Regional Knowledge Hub for HIV/AIDS Surveillance at Kerman University of Medical Sciences, UNODC.</t>
  </si>
  <si>
    <t>Study included 226 PWIDs from Tehran, Mashad, Shiraz</t>
  </si>
  <si>
    <t>Core indicators for the Implementation of the UNGASS Declaration of Commitment on HIV/AIDS, 2008</t>
  </si>
  <si>
    <t>D1</t>
  </si>
  <si>
    <t>Strategy of Montenegro for the prevention of drug abuse 2013-2020, Podgorica, February 2013</t>
  </si>
  <si>
    <t>Drug use in Pakistan 2013: UNODC and Ministry of Narcotics Control, Pakistan Bureau of Statistics, Government of Pakistan</t>
  </si>
  <si>
    <t>South-West Asia</t>
  </si>
  <si>
    <t>Near and Middle East</t>
  </si>
  <si>
    <t>A</t>
  </si>
  <si>
    <t>B</t>
  </si>
  <si>
    <t>C</t>
  </si>
  <si>
    <t>UNAIDS AIDSInfo</t>
  </si>
  <si>
    <t xml:space="preserve">Maria Luz Osimani, Rodolfo Vazquez Pedrouzo, Hector Chiparelli, .Monica Guchin, Laura Latorre, Georgina Garibotto, Gherardi Alejandro Perez. Jael Vidal. Seroprevalence for human immunodeficiency virus , hepatitis B and C in injecting drug users. Uruguay, 2003 </t>
  </si>
  <si>
    <t>EMCDDA. Kraus et al. (2011). Estimation Problem Drug Use in Ankara, Istanbul, Izmir.</t>
  </si>
  <si>
    <t>Sub-national: Stockholm City</t>
  </si>
  <si>
    <t xml:space="preserve">Indirect prevalence estimation methods </t>
  </si>
  <si>
    <t xml:space="preserve">e.g.,    capture-recapture, </t>
  </si>
  <si>
    <t xml:space="preserve">           multiplier methods, etc</t>
  </si>
  <si>
    <t xml:space="preserve">General population survey </t>
  </si>
  <si>
    <t>Treatment and other national registers of drug users</t>
  </si>
  <si>
    <t>·          Official government estimate with no methodology reported</t>
  </si>
  <si>
    <t xml:space="preserve">·          Experts’ judgment with known method of estimation (eg. an estimate obtained through a rapid assessment) </t>
  </si>
  <si>
    <t>·          Delphi method or other consensus estimate</t>
  </si>
  <si>
    <t>D2*</t>
  </si>
  <si>
    <t>*Data graded D2 are excluded from the dataset</t>
  </si>
  <si>
    <t xml:space="preserve">Multi-site seroprevalence study with at least two sample types (e.g. treatment or outreach sample) </t>
  </si>
  <si>
    <t xml:space="preserve">Seroprevalence study from a single sample type </t>
  </si>
  <si>
    <t>·        Official government estimate with no methodology reported</t>
  </si>
  <si>
    <t>·        Modelling Studies (e.g. mode of transmission models)</t>
  </si>
  <si>
    <t>GARPR UNAIDS (on-line reporting)</t>
  </si>
  <si>
    <t>Estudios de seroprevalencia de vih/sida y de conocimientos, actitudes y prácticas entre usuarios de pasta base, crack y otras denominaciones de la cocaína fumable en Montevideo y su área metropolitana. Uruguay 2013.</t>
  </si>
  <si>
    <t>Integrated Biological &amp; Behavioral Surveillance (IBBS) in Selected Cities of Afghanistan. Findings of 2012 IBBS survey and comparison to 2009 IBBS survey. National AIDS Control Program (NACP) Ministry of Public Health, Afghanistan November 2012.</t>
  </si>
  <si>
    <t xml:space="preserve"> Surveyed a total of 1163 PWID in five cities in Afghanistan. Respondent Driven Sampling.</t>
  </si>
  <si>
    <t>seroprevalence study</t>
  </si>
  <si>
    <t>seroprevalence survey</t>
  </si>
  <si>
    <t>Seroprevalence Study</t>
  </si>
  <si>
    <t>Dakar region. Sample size 88.</t>
  </si>
  <si>
    <t>Rapport de situation sur la riposte nationale a l'epidemie de HIV/SIDA Senegal: 2012-2013. Conseil National de Lutte contre le sida. March 2014.</t>
  </si>
  <si>
    <t>IBBS</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</si>
  <si>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</si>
  <si>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Aleksandar Štulhofer, Agnes Chetty, Randa Abu Rabie, Isam Jwehan, and Asad Ramlawi. The Prevalence of HIV, HBV, HCV, and HIV-Related Risk-Taking Behaviors among Palestinian Injecting Drug Users in the East Jerusalem Governorate. Journal of Urban Health: Bulletin of the New York Academy of Medicine, Vol. 89, No. 4. 2012.</t>
  </si>
  <si>
    <t>Respondent Driven Sampling. Study included 199 PWID</t>
  </si>
  <si>
    <t>ARQ/ EMCDDA</t>
  </si>
  <si>
    <t>2004-11</t>
  </si>
  <si>
    <t>Bollaerts, K. &amp; van Bussel, J. C. H. (2012). Ontwikkeling en Validatie van een Serologisch en Gedragsgerelateerd Studieprotocol naar HCV-, HBV- en HIV-infecties bij Recent Injecterende Drugsgebruikers tot Realisatie van de Registratie van de Drugs Related Infectious Diseases (DRID). Brussels: WIV-ISP.</t>
  </si>
  <si>
    <t>Respondent Driven Sampling. Sample size 180.</t>
  </si>
  <si>
    <t xml:space="preserve">   A1</t>
  </si>
  <si>
    <t xml:space="preserve">   A2</t>
  </si>
  <si>
    <t>REITOX Focal Point to the EMCDDA</t>
  </si>
  <si>
    <t>Ministry of Health / General Directorate of Health Services.</t>
  </si>
  <si>
    <t>Tempalski B, Pouget ER, Cleland CM, Brady JE, Cooper HLF, et al. (2013) Trends in the population prevalence of people who inject drugs in US Metropolitan Areas 1992–2007. PLOS ONE 8(6): e64789. doi:10.1371/ journal.pone.0064789.</t>
  </si>
  <si>
    <t>EMCDDA / ARQ</t>
  </si>
  <si>
    <t>2008-2011</t>
  </si>
  <si>
    <t>Malczewski, A. (2013), Iniekcyjne używanie narkotyków w Polsce, Remedium 11 (248), p. 30-31</t>
  </si>
  <si>
    <t>Western and Central Europe</t>
  </si>
  <si>
    <t>HIV Among People Who Inject Drugs</t>
  </si>
  <si>
    <t>Behavioral and Biological Surveillance Study among Injection Drug Users in Bosnia and Herzegovina, 2012:  A Respondent-Driven Sampling Survey. Institute for Public Health FB&amp;H. November 2012.</t>
  </si>
  <si>
    <t>Methadone Substitution Therapy Program. Capital of Georgia-Tbilisi, west and east part of Georgia</t>
  </si>
  <si>
    <t>National Assessment Study 2007</t>
  </si>
  <si>
    <t>Tasnim Azim, Ezazul Islam Chowdhury, Masud Reza, et. al. 2008. Prevalence of Infections, HIV Risk Behaviors and Factors Associated with HIV Infection Among Male Injecting Drug Users Attending a Needle/Syringe Exchange Program in Dhaka, Bangladesh. Substance Use &amp; Misuse, 43:2124–2144.</t>
  </si>
  <si>
    <t>Dhaka only.</t>
  </si>
  <si>
    <t>BASTOS, FI; BERTONI, Neilane. Pesquisa Nacional sobre o uso de crack. Quem são os usuários de crack e/ou similares do Brasil? Quantos são nas capitais brasileiras? Rio de Janeiro, 2014: ICICT/FIOCRUZ.</t>
  </si>
  <si>
    <t>Government report (note verbale)</t>
  </si>
  <si>
    <t>ARQ/ GARPR/ EMCDDA national report</t>
  </si>
  <si>
    <t>Cabo Verde</t>
  </si>
  <si>
    <t>Unpublished report: "Report on sentinel surveillance of HIV among vulnerable groups Republic of Kazakhstan for 2014," National Center for the Prevention and Control of AIDS, Almaty</t>
  </si>
  <si>
    <t>AIDSInfo</t>
  </si>
  <si>
    <t>Rwanda Biomedical Center/Institute of HIV/AIDS, Disease Prevention and Control Department (RBC/IHDPC), School of Public Health (SPH), UNAIDS, and ICF International. 2012. Estimating the Size of Populations through a Household Survey. Calverton, Maryland, USA: RBC/IHDPC, SPF, UNAIDS, and ICF International.</t>
  </si>
  <si>
    <t>UNAIDS. Global AIDS Response Progress Reporting: Vietnam. Geneva: 2014.</t>
  </si>
  <si>
    <t xml:space="preserve">           network scale-up method,</t>
  </si>
  <si>
    <t>Seroprevalence study (Respondent driven sampling)</t>
  </si>
  <si>
    <t>Data on people who inject drugs</t>
  </si>
  <si>
    <t>PWID:</t>
  </si>
  <si>
    <r>
      <t>Data are categorized by methodology according to a slightly modified classification originally proposed by Mathers et. al., (2008)</t>
    </r>
    <r>
      <rPr>
        <vertAlign val="superscript"/>
        <sz val="12"/>
        <rFont val="Times New Roman"/>
        <family val="1"/>
      </rPr>
      <t>1</t>
    </r>
  </si>
  <si>
    <t>1. Mathers, B., L. Degenhardt, et. al., (2008). Global epidemiology of injecting drug use and HIV among people who inject drugs: a systematic review. The Lancet 372(9651): 1733-1745</t>
  </si>
  <si>
    <t>Christensen, P.B., Grasaasen K, Sælan H. (2009, upubliceret). Skøn over antallet af in-jektionsmisbrugere i Danmark, 2009.</t>
  </si>
  <si>
    <t xml:space="preserve">Seroprevalence study (Respondent Driven Sampling) </t>
  </si>
  <si>
    <t>Haghdoost et.al, 2014, Bio-behavioral study of IDUs, Kerman HIV knowledge hub (unpublished)</t>
  </si>
  <si>
    <t>Seroprevalence study (Respondent-driven sampling)</t>
  </si>
  <si>
    <t>Lausevic et al., Prevalence of HIV and other infections and correlates of needle and syringe sharing among people who inject drugs in Podgorica, Montenegro: a respondent-driven sampling survey. Harm Reduction Journal (2015) 12:2</t>
  </si>
  <si>
    <t>Sample size 700</t>
  </si>
  <si>
    <t>Ministry of Health (Needles Exchange Services Trust)</t>
  </si>
  <si>
    <t>Survey publication</t>
  </si>
  <si>
    <t>ARQ / EMCDDA</t>
  </si>
  <si>
    <t>Reitox National Focal Point to the EMCDDA</t>
  </si>
  <si>
    <t xml:space="preserve"> Study carried out in five cities: Sarajevo, Banja Luka, Zenica, Mostar and Bijeljina</t>
  </si>
  <si>
    <t xml:space="preserve">Ministry of Health, National AIDS of Commision </t>
  </si>
  <si>
    <t>Integrated behavioural and biological rapid survey, 2014. 4 cities.</t>
  </si>
  <si>
    <t>Heroin-assisted treatment first-time admissions</t>
  </si>
  <si>
    <t xml:space="preserve">Heroin-assisted treatment in Switzerland. Results of the survey in 2013. Maria Dickson-Spillmann, Damian Hiltebrand, Heidi Bolliger, Michael Schaub. No. 343 May 2014 </t>
  </si>
  <si>
    <t>National Bureau of Narcotics. Ministry of Health.</t>
  </si>
  <si>
    <t>Alain Origer and Jean-Claude Schmit. Prevalence of hepatitis B and C and HIV infections among problem drug users in Luxembourg: self-report versus serological evidence. J Epidemiol Community Health 2012;66:64e68. doi:10.1136/jech.2009.101378</t>
  </si>
  <si>
    <t xml:space="preserve">Sunil Suhas Solomon, Shruti H Mehta, Aylur K Srikrishnan, Suniti Solomon, Allison M McFall, Oliver Laeyendecker, David D Celentano, Syed H Iqbal, Santhanam Anand, Canjeevaram K Vasudevan, Shanmugam Saravanan, Gregory M Lucas, Muniratnam S Kumar, Mark S Sulkowski, Thomas C Quinn, Burden of hepatitis C virus disease and access to hepatitis C virus services in people who inject drugs in India: a cross-sectional study, The Lancet Infectious Diseases, Volume 15, Issue 1, January 2015, Pages 36-45, ISSN 1473-3099, http://dx.doi.org/10.1016/S1473-3099(14)71045-X. </t>
  </si>
  <si>
    <t>Informe Final - Prevalencia de infección por HIV y Treponema Pallidum en poblaciones vulnerables de Argentina. Identificación de patrones de testeo, consumo de drogas, prácticas sexuales y uso de preservativo. Instituto de Investigaciones Biomédicas en Retrovirus y SIDA.</t>
  </si>
  <si>
    <t>Report</t>
  </si>
  <si>
    <t>Government (MS comments)</t>
  </si>
  <si>
    <t>La Heroína en Colombia - Producción, Uso e Impacto en la Salud Pública - Observatorio De Drogas de Colombia</t>
  </si>
  <si>
    <t>Weighted population size estimate based on data from six cities.</t>
  </si>
  <si>
    <t>Registration or notification of cases of infection (e.g. from treatment services)</t>
  </si>
  <si>
    <t>Baćak, V. and Dominković, Z. (2012), Behavioural and Biological Surveillance Study Among Injection Drug Users in Bosnia and Herzegovina, 2012: A Respondent-Driven Sampling Survey, Public Health Institute, Republika Srpska.</t>
  </si>
  <si>
    <t>B2</t>
  </si>
  <si>
    <t>B1</t>
  </si>
  <si>
    <t>Mapping/census and enumeration</t>
  </si>
  <si>
    <t>·          Modelling studies (e.g. Spectrum)</t>
  </si>
  <si>
    <t>Consensus Estimates on Key Population Size and HIV Prevalence in Tanzania. National AIDS Control Programme (NACP). JULY 2014.</t>
  </si>
  <si>
    <t>Julie Bouscaillou, Jérome Evanno, Myrtille Prouté, André Inwoley, Mathieu Kabran, Thierry N’Guessan, Samedi Djé-Bi, Souleymane Sidibé, Marguerite Thiam-Niangoin, Badou Roger N’guessan, Pascale Blanchetière, Niklas Luhmann, Prevalence and risk factors associated with HIV and tuberculosis in people who use drugs in Abidjan, Ivory Coast, International Journal of Drug Policy, Volume 30, April 2016, Pages 116-123</t>
  </si>
  <si>
    <t>Survey report</t>
  </si>
  <si>
    <t>Integrated Bio-Behavioural Surveillance Survey (IBBSS) among MARPs in Liberia 2013.</t>
  </si>
  <si>
    <t>Lepretre A et al. Prevalence and behavioural risks for HIV and HCV infections in a population of drug users of Dakar, Senegal: the ANRS 12243 UDSEN study. Journal of the International AIDS Society 2015, 18:19888</t>
  </si>
  <si>
    <t>Unpublished estimate from the Ninth National Study of Drug Use in the General Population, 2010</t>
  </si>
  <si>
    <t>Jose, H., Rahman, B., Dolan, K., &amp; Rawstorne, P. (2015). Population size estimation of female sex workers, men who have sex with men and people who use and inject drugs in Timor-Leste: Final report April 2015. Dili, Timor-Leste: National HIV/AIDS &amp; STIs Control Programme of the Ministry of Health Timor-Leste.</t>
  </si>
  <si>
    <t>Biological and Behavioural Survey on HIV/AIDS - 2008. Republic of Maldives.</t>
  </si>
  <si>
    <t>2006/08</t>
  </si>
  <si>
    <t>EMCDDA/ ARQ</t>
  </si>
  <si>
    <t>NMCD (2007): Odhad problémových užívateľov drog za rok 2006 (Estimation of problem drug use in Slovakia in 2006), National Monitoring Centre for Drugs, unpublished</t>
  </si>
  <si>
    <t>GARPR/ published report</t>
  </si>
  <si>
    <t>survey report</t>
  </si>
  <si>
    <t>Etude comportementale et biologique chez les consommateurs de drogues injectables dans les zones urbaines à Madagascar - 2012. Rapport Final, Juin 2012.</t>
  </si>
  <si>
    <t>Three cities: Antananarivo, Toamasina and Antsiranana</t>
  </si>
  <si>
    <t>Strengthening HIV prevention among most-at-risk populations (MARPs) in the Syrian Arab Republic. The Integrated Bio-Behavioral Survey (IBBS) in Syria: 2013-2014. Final Report. Oct. 13, 2014</t>
  </si>
  <si>
    <t>Four main cities: Damascus, Suburbs of Damascus (Rif Damascus), Lattakia and Tartous.. Sample size 394.</t>
  </si>
  <si>
    <t>2015/16</t>
  </si>
  <si>
    <t>4 survey reports</t>
  </si>
  <si>
    <t>Seroprevalence studies (Respondent Driven Sampling (Katmandu Valley, Pokhara Valley), two-stage cluster sampling (Eastern Terai and Western Terai))</t>
  </si>
  <si>
    <t>survey reports</t>
  </si>
  <si>
    <t>Handanagic, S. and others. HIV and hepatitis C prevalence, and related risk behaviours among people who inject drugs in three cities in Croatia: Findings from respondent-driven sampling surveys. International Journal of Drug Policy 32 (2016) 57–63</t>
  </si>
  <si>
    <t>journal article</t>
  </si>
  <si>
    <t xml:space="preserve"> Integrated Bio-Behavioural Study in key populations at higher risk: key indicators. Round 2012/2013. Chisinau, 2013</t>
  </si>
  <si>
    <t>Seroprevalence Study (Respondent driven sampling)</t>
  </si>
  <si>
    <t xml:space="preserve">Injected within past year. Aged 18 and older. Four sites: Chisinau, municipality of Balti, Tiraspol town and Ribnita town. Sample sise 1,143. Chisinau municipality prevalence reported.  </t>
  </si>
  <si>
    <t>2015 Size Estimation of Key Affected Populations in the Philippines, Epidemiology Bureau, Department of Health, Philippines</t>
  </si>
  <si>
    <t>survey factsheets</t>
  </si>
  <si>
    <t>Seroprevalence study (respondent driven sampling)</t>
  </si>
  <si>
    <t>2015 Integrated HIV Behavioral and Serologic Surveillance. Ministry of Health. Epidemiology Bureau. See:  2015 IHBSS fact sheets. Integrated HIV Behavioral and Serologic Surveillance. Ministry of Health. Epidemiology Bureau</t>
  </si>
  <si>
    <t>Cebu city. Females only. Sample size 103.</t>
  </si>
  <si>
    <t>AIDSInfo/ATLAS//factsheet report</t>
  </si>
  <si>
    <t>Kanato M. Size Estimation of Injecting Drug Users through the Network Scale-Up Method in Thailand. J Med Assoc Thai. 2015 Jul;98 Suppl 6:S17-24.</t>
  </si>
  <si>
    <t>UNAIDS (KS file)</t>
  </si>
  <si>
    <t>National AIDS Surveillance</t>
  </si>
  <si>
    <t>2011/14</t>
  </si>
  <si>
    <t>Robert Koch-Institut (RKI) (2015). "HIV, Hepatitis B und C bei injizierenden Drogengebrauchenden in Deutschland - Ergebnisse der DRUCK-Studie des RKI." Epidemiologisches Bulletin 22: 191-197</t>
  </si>
  <si>
    <t>ARQ/survey report</t>
  </si>
  <si>
    <t>National HIV/AIDS &amp; STIs Control Programme. Federal Ministry of Health, Nigeria. Integrated Biological and Behavioural Surveillance Survey (IBBSS) 2014. November, 2015</t>
  </si>
  <si>
    <t>Mapping Study and Size Estimation of Key Populations in Bangladesh for HIV Programs 2015-2016. National AIDS/STD Control Programme (NASP). (2016). Ministry of Health and Family Welfare, Directorate General of Health Services. June 27, 2016</t>
  </si>
  <si>
    <t>UNAIDS AIDSInfo/ATLAS/KS file</t>
  </si>
  <si>
    <t>AIDSInfo/ATLAS/KS</t>
  </si>
  <si>
    <t>EMCDDA/KS file</t>
  </si>
  <si>
    <t>UNAIDS (AIDSInfo/ATLAS/KS)</t>
  </si>
  <si>
    <t>HBsAg. Eight cities: Berlin, Essen, Leipzig, Frankfurt / Main, Cologne, Hannover, Munich, Hamburg. Sample size 2,077. Injected in past 12 months.</t>
  </si>
  <si>
    <t>(1) DREES (2015). Prévalence du VIH et du VHC chez les usagers de drogues fréquentant les structures de prise en charge et de réduction des risques. L'état de santé de la population en France. DREES (Direction de la recherche des études de l'évaluation et des statistiques), Paris. (2) Jauffret-Roustide, M., Pillonel, J., Weill-Barillet, L., Léon, L., Le Strat, Y., Brunet, S. et al. (2013). Estimation de la séroprévalence du VIH et de l'hépatite C chez les usagers de drogues en France - Premiers résultats de l'enquête ANRS-Coquelicot 2011 [Estimation of HIV and hepatitis C prevalence among drug users in France - First results from the ANRS-Coquelicot 2011 Survey]. BEH - Bulletin Epidémiologique Hebdomadaire (39-40) 504-509.</t>
  </si>
  <si>
    <t>Sample size 397. Injected at least once in their lifetime. Anti-HBc and/or HBsAg</t>
  </si>
  <si>
    <t>National Centre for Epidemiology</t>
  </si>
  <si>
    <t xml:space="preserve">Grogan L, Tiernan M, Geoghegan N, et al (2005) et al. Bloodborne virus infections among drug users in Ireland: a retrospective cross-ectional survey of screening, prevalence, incidence and hepatitis B immunisation uptake. Irish Journal of Medical Science, 174(2):14-20. </t>
  </si>
  <si>
    <t>ARQ/published article</t>
  </si>
  <si>
    <t>HBsAg. Cross-sectional survey of clients (heroin users) attending 21 specialist addiction treatment clinics in one health board area in greater Dublin.  Sample size 299</t>
  </si>
  <si>
    <t>José Luis Valdespino, MC, MSPI; Carlos J Conde-González, QBP, M en C, D en CII; Gustavo Olaiz-Fernández, MC, MSPIII; Oswaldo Palma, ActII; Jaime Sepúlveda, MC, M en C, D en CII Prevalencia en México de la infección y el estado de portador de la hepatitis B en adultos. Salud pública Méx vol.49  supl.3 Cuernavaca ene. 2007</t>
  </si>
  <si>
    <t>HBsAg.  A total of 12,014 samples from the 2000 National Health Survey</t>
  </si>
  <si>
    <t>Medically Assited Therapy  clinics/sites reports in Dar Es Salaam at Muhimbili, Mwananyamala and Temeke Referal Hospitals</t>
  </si>
  <si>
    <t>CONSOMMATEURS DE DROGUES INJECTABLES A BAMAKO, MALI. Profil, pratiques à risques, prévalence des virus infectieux, accès aux soins. Rapport d’enquête RDS. Mission FEI 14INI110 / Mali. Olivier Maguet et Bilel Mahjoubi, Octobre 2015</t>
  </si>
  <si>
    <t>UNAIDS (KS)</t>
  </si>
  <si>
    <t>n2=n1(p2/p1) as survey published rate is for males aged 18 - 59</t>
  </si>
  <si>
    <t>Jerry O. Jacobson, Tobi J. Saidel, Virginia Loo. Estimating the size of key affected populations at elevated risk for HIV in Egypt, 2014. Partnership for Epidemic Analysis, May 2015</t>
  </si>
  <si>
    <t>Setswe G, Wabiri N, Cloete A, Mabaso M, Jooste S, Ntsepe Y, Msweli S, Sigida S and Mlobeli R (2015). Programmatic mapping and size estimation of key populations: Sex Workers (male and female), Men who have Sex with Men, Persons Who Inject Drugs and Transgender People. Cape Town: NACOSA</t>
  </si>
  <si>
    <t>KS</t>
  </si>
  <si>
    <t>Size Estimation, Risk Behavior Assessment, and Disease Prevalence in Populations at High Risk for HIV Infection in Lebanon. Prepared for: Middle East and North Africa Harm Reduction Association (MENAHRA), Beirut, Lebanon</t>
  </si>
  <si>
    <t>Study report</t>
  </si>
  <si>
    <t>Eugene Kechin Arkadevna. Estimates of the number of injecting drug users in the Republic of Belarus. Research Report. Minsk 2015.</t>
  </si>
  <si>
    <t>Registered drug users</t>
  </si>
  <si>
    <t>Lepreˆtre A et al. Prevalence and behavioural risks for HIV and HCV infections in a population of drug users of Dakar, Senegal: the ANRS 12243 UDSEN study. Journal of the International AIDS Society 2015, 18:19888</t>
  </si>
  <si>
    <t>National Survey on life styles of citizens in Serbia 2014 : key findings on substance use and gambling. Institute of Public Health of Serbia. June 2014</t>
  </si>
  <si>
    <t>Definition of injecting</t>
  </si>
  <si>
    <t>Age group</t>
  </si>
  <si>
    <t>Gender</t>
  </si>
  <si>
    <t>Geographical coverage</t>
  </si>
  <si>
    <t>past year</t>
  </si>
  <si>
    <t>18 and older</t>
  </si>
  <si>
    <t>Both</t>
  </si>
  <si>
    <t>Nairobi and Coast Provinces. 5 survey sites in the Coast and two sites in Nairobi.</t>
  </si>
  <si>
    <t>past 6 months</t>
  </si>
  <si>
    <t>15 and older</t>
  </si>
  <si>
    <t>National</t>
  </si>
  <si>
    <t>Nationally representative household survey</t>
  </si>
  <si>
    <t>18 - 59</t>
  </si>
  <si>
    <t>Males</t>
  </si>
  <si>
    <t>National (extrapolation based on data from Menia, Alexandria and Cairo)</t>
  </si>
  <si>
    <t>lifetime</t>
  </si>
  <si>
    <t>Two major urban areas: Maputo and Nampula</t>
  </si>
  <si>
    <t>National (3 districts (Kitwe, Livingstone, Ndola) in 2 provinces out of 10)</t>
  </si>
  <si>
    <t>Abidjan</t>
  </si>
  <si>
    <t>injected past three months (regardless of drug type), or used heroin or cocaine / crack in past three months (regardless of the mode of administration)</t>
  </si>
  <si>
    <t>Dakar region</t>
  </si>
  <si>
    <t>12 - 65</t>
  </si>
  <si>
    <t>15 - 64</t>
  </si>
  <si>
    <t>Part of country or sub-population</t>
  </si>
  <si>
    <t>Six cities: Medellín, Cali, Pereira, Cúcuta, Armenia, Bogotá</t>
  </si>
  <si>
    <t>Districts with more than 10,000 inhabitants</t>
  </si>
  <si>
    <t>past month</t>
  </si>
  <si>
    <t>16 and older</t>
  </si>
  <si>
    <t xml:space="preserve">National </t>
  </si>
  <si>
    <t>over 15</t>
  </si>
  <si>
    <t>15 and older (national extrapolated rate given for males aged 15-49)</t>
  </si>
  <si>
    <t>Extrapolated to national. Direct estimates for Cebu City and Mandaue City</t>
  </si>
  <si>
    <t xml:space="preserve">National   </t>
  </si>
  <si>
    <t>National. All four provinces and Pakistan-administered Kashmir</t>
  </si>
  <si>
    <t>past 3 months</t>
  </si>
  <si>
    <t>10 and older</t>
  </si>
  <si>
    <t>National (mapping conducted in 21 selected districts, extrapolated to remaining 43 districts of the country)</t>
  </si>
  <si>
    <t>12 selected islands and atolls. Extrapolated to calculate national estimate</t>
  </si>
  <si>
    <t>18 - 64</t>
  </si>
  <si>
    <t xml:space="preserve">National. Eight cities: Banja Luka, Bihać, Bijelina, Brčko, Mostar, Sarajevo, Tuzla, Zenica. Extrapolated to national estimate. </t>
  </si>
  <si>
    <t>Podgorica</t>
  </si>
  <si>
    <t>Bucharest</t>
  </si>
  <si>
    <t>high-risk opiate users, including but not specifically PWID</t>
  </si>
  <si>
    <t>3 cities (Ankara, Izmir and Istanbul).</t>
  </si>
  <si>
    <t xml:space="preserve">injecting opioids </t>
  </si>
  <si>
    <t>injecting amphetamines and opioids</t>
  </si>
  <si>
    <t>14 and older</t>
  </si>
  <si>
    <t xml:space="preserve">B1;  Mapping/census and enumeration. </t>
  </si>
  <si>
    <t>A;  Indirect Estimate. network scale-up and proxy respondent methods in a household survey</t>
  </si>
  <si>
    <t>B1; Mapping</t>
  </si>
  <si>
    <t>D1;  Official government estimate with methodology unknown</t>
  </si>
  <si>
    <t>A;  Indirect Estimate (Multiple Methods)</t>
  </si>
  <si>
    <t>B1; Enumeration and literature review</t>
  </si>
  <si>
    <t>A;  Indirect Estimate (capture-recapture - based on distribution of tokens)</t>
  </si>
  <si>
    <t>B1;  Census enumeration</t>
  </si>
  <si>
    <t>B2;  General Population Survey</t>
  </si>
  <si>
    <t>A;  Indirect Estimate (Multiplier Methods based on treatment, HIV testing and arrests for possession)</t>
  </si>
  <si>
    <t>C;  Treatment and other national registers of drug users</t>
  </si>
  <si>
    <t>D1;  Official government estimate with no methodology reported</t>
  </si>
  <si>
    <t>A;  Indirect Estimate (Multiplier Methods)</t>
  </si>
  <si>
    <t>A;  Indirect Estimate (Multiplier method)</t>
  </si>
  <si>
    <t>A;  Indirect Estimate</t>
  </si>
  <si>
    <t>A; Indirect Estimate (multiplier methods (service multiplier and unique object multiplier); Wisdom of the Crowds; successive sampling populations size estimation (SS-PSE))</t>
  </si>
  <si>
    <t>A;  Indirect Estimate (Capture - recapture) Unique object</t>
  </si>
  <si>
    <t>B1;  Mapping and enumeration</t>
  </si>
  <si>
    <t>D1;  Modelling (Asian Epidemic Modelling and Spectrum)</t>
  </si>
  <si>
    <t>A;  Indirect Estimate (Multiple methods -Triangulation of unique object multiplier, service multiplier, successive sampling size estimation, key informant and other techniques)</t>
  </si>
  <si>
    <t>A;  Indirect Estimate (Network Scale-up Method)</t>
  </si>
  <si>
    <t>A;  Indirect Estimate (Multiple methods - network scale up, service multiplier method, wisdom of the crowd, key informant estimates and public &amp; grey literature review)</t>
  </si>
  <si>
    <t>C;  Treatment and other national registers of drug users ?</t>
  </si>
  <si>
    <t>A;  Indirect Estimate (treatment multiplier and proportion of problem opiate users injecting plus results from a household survey)</t>
  </si>
  <si>
    <t>C;  Registration of drug users</t>
  </si>
  <si>
    <t>A;  Indirect Estimate (Capture-recapture). 1. Using police arrests and treatment at national toxicology center. 2. Using police arrests and on Methadone Maintenance Therapy</t>
  </si>
  <si>
    <t>A; Indirect Estimate (Multiple methods: Network Scale-up and multiplier))</t>
  </si>
  <si>
    <t xml:space="preserve">D1;  Experts’ judgment with known method of estimation </t>
  </si>
  <si>
    <t>A;  Indirect Estimate (Treatment multiplier)</t>
  </si>
  <si>
    <t>A;  Indirect Estimate (Multiplier method). Using data from syringe exchange programmes and the 2014 General Population Survey</t>
  </si>
  <si>
    <t>A;  Indirect Estimate (Multiplier method). Based on mortality multiplier</t>
  </si>
  <si>
    <t>A;  Indirect Estimate (Capture-recapture)</t>
  </si>
  <si>
    <t>A;  Indirect Estimate (Mortality Multiplier)</t>
  </si>
  <si>
    <t>A;  Indirect Estimate (Combined methods)</t>
  </si>
  <si>
    <t>C;  Treatment and other national registers of drug users - National Drug Treatment Reporting System</t>
  </si>
  <si>
    <t>A;  Indirect Estimate - based on problem drug users adjusted by those in treatment who report injecting</t>
  </si>
  <si>
    <t xml:space="preserve">A;  Indirect Estimate </t>
  </si>
  <si>
    <t>A;  Indirect Estimate (Treatment Multiplier) Clients in contact with low-threshold services (harm-reduction)</t>
  </si>
  <si>
    <t>A;  Indirect Estimate (Capture-recapture). The method uses patient registries and applies a condition based on ICD-10 codes which distinguishes between those who receive a diagnosis of abuse and those who receive any diagnosis related to injecting drug use.</t>
  </si>
  <si>
    <t xml:space="preserve">Upper size estimate: multiplier method based on contact with local NGO.  Lower size estimate: “number of IDUs registering in the local NGO treatment centre in the preceding six months” </t>
  </si>
  <si>
    <t>Nationally representative sample of 2,125 households. A total of 4,669 women and men aged 15 years and above were interviewed</t>
  </si>
  <si>
    <t>Geographic mapping consisted of 2 to 3 meetings in each governorate. Participants included: in Cairo, former PWID and outreach workers (14 participants); in Alexandria, former PWID, drug treatment center staff and key informants (22 participants); in Menia, former PWID, community activists and faith-based services (21 participants). Meeting participants were then asked to estimate the number of male PWID present at peak times at each hotspot. The mapping was based on data supplied by key informants and did not include field visits to known hotspots.</t>
  </si>
  <si>
    <t>Unpublished data from the Ninth National Study of Drug Use in the General Population, 2010 (communicated to UNODC by the Director of the Drug Monitoring Center of SENDA). 15,576 people from 108 urban communities of the country with a population over 30,000, which corresponds to approximately 70% of the total national population</t>
  </si>
  <si>
    <t>A national household survey was conducted among 3,790 individuals who were 12-65 years old. The participants were asked to identify the number of their acquaintances whom they perceived to be PWID.</t>
  </si>
  <si>
    <t>Low estimate: The official numbers of PWID reported by the Ministry of Public Security (MPS). As estimated by the MPS, 85% of drug users practice injecting drug use. Female PWID are thought to account for 5% of the total PWID. Upper estimate: obtained by applying a multiplier to MPS numbers for each cluster. The multiplier was determined by examining data from mapping exercises of PWID conducted as part of projects supported by the World Bank and DFID. The estimated numbers of PWID obtained from these activities were compared with those provided by MPS to define the value of the multiplier. This value was carefully reviewed and agreed upon by the TWG as well as key stakeholders from Provincial AIDS Centers (PACs). The medium estimate (reported) is an average of the low and high estimates.</t>
  </si>
  <si>
    <t>Based on the number of problem drug users who inject, combined with the population prevalence of people who inject drugs in the household survey.  Study combined a national survey on drug use (n=51,453), a Problem Drug Use Assessment (n=4,533) and an Audit of Drug Treatment Services (n=58 treatment centres nationwide)</t>
  </si>
  <si>
    <t>A full description of the method for estimating population from these data, the mathematics behind the estimation, and an applied example from field data can be found on-line at http://arxiv.org/pdf/1504.08349.pdf. Women may be significantly under-represented in the sample</t>
  </si>
  <si>
    <t xml:space="preserve">Information was collected using Participatory Rapid Appraisal, Key Informant Interviews and direct head count. Districts sampled selected by expert group prioritizing for extent of HIV vulnerability.  </t>
  </si>
  <si>
    <t>Six multipliers used: attending counselling services, receiving disposable syringes, detained by police, drug treatment, overdoses (according to ambulance service), proportion of people of reproductive age, ever injecting drug users.</t>
  </si>
  <si>
    <t>Information collected on 303 PWID recruited through RDS</t>
  </si>
  <si>
    <t>Multiplication method with three data sources</t>
  </si>
  <si>
    <t xml:space="preserve">Personal communication with Research Manager, Viral infections Unit, National Institute for Health and Welfare) states: after examining the other possible data ( TDI, DRID) we estimate that 75% of our HRDU estimate would be injecting drug users. The data are drawn from the hospital discharge register, the national police information system, the register of drivers caught driving under the influence of drugs and hepatitis C cases in the national infectious diseases register. </t>
  </si>
  <si>
    <t>Users in treatment have indicated that they injected substances, then applying a multiplicative factor between PDU and users in treatment (factor of 2)</t>
  </si>
  <si>
    <t xml:space="preserve">Based on data of residential and ambulatory drug treatment, the Institute of Psychiatry and Neurology, pilot Treatment Demand Indicator project and field studies collected through questionnaire interviews with participants of syringe and needle exchange programmes. </t>
  </si>
  <si>
    <t>Data about clients in contact with 6 low-threshold services (harm-reduction) in 8 cities have been used. Proportion of problem drug users being in contact with low-threshold programme has been obtained by nomination technique in the survey with 294 respondents – clients of low-threshold programmes."</t>
  </si>
  <si>
    <t xml:space="preserve"> Based on the 2010/11 English estimate, the 2009/10 Scottish and Welsh estimates and the 2004 Northern Irish estimate.</t>
  </si>
  <si>
    <t>Jordan National AIDS Program (2010) Preliminary analysis of Jordan IBBSS among injecting drug users. Amman: Ministry of Health. See also: Mumtaz GR, Weiss HA, Thomas SL, et al. HIV among People Who Inject Drugs in the Middle East and North Africa: Systematic Review and Data Synthesis. Celentano DD, ed. PLoS Medicine. 2014;11(6)</t>
  </si>
  <si>
    <t>Sample size</t>
  </si>
  <si>
    <t>Cairo and Alexandria Governorates</t>
  </si>
  <si>
    <t>Cairo, 275; Alexandria, 285</t>
  </si>
  <si>
    <t>Tripoli</t>
  </si>
  <si>
    <t>328 (5 females)</t>
  </si>
  <si>
    <t>Lifetime</t>
  </si>
  <si>
    <t>4 districts in 2 regions</t>
  </si>
  <si>
    <t>9 counties (Grand Cape Mount, Grand Bassa, Grand Gedeh, Gbarpolu, Lofa, Montserrado, Margibi, Nimba and River Gee)</t>
  </si>
  <si>
    <t>Bamako</t>
  </si>
  <si>
    <t>6 states: Cross River, Enugu, FCT, Kaduna, Kano, Lagos, Oyo, Rivers</t>
  </si>
  <si>
    <t>3,150 (217 females) (Cross River, 226; Enugu, 375; FCT, 669; Kaduna, 504; Kano, 285; Lagos, 391; Oyo, 310; Rivers, 390)</t>
  </si>
  <si>
    <t>Those who meet the minimum age of consent as per provincial requirements</t>
  </si>
  <si>
    <t>injected drugs in the past 6 months or have used cocaine, heroin, amphetamine or methamphetamine at least one day per week</t>
  </si>
  <si>
    <t>over 18</t>
  </si>
  <si>
    <t>Buenos Aires (HIV-AIDS and STIs Municipality of San Martin and Specialized Hospital Network for Mental Health and Addictions).</t>
  </si>
  <si>
    <t>259 (136 females)</t>
  </si>
  <si>
    <t>41 geographic strata constituted as follows: the 26 state capitals, the Federal District, the nine Metropolitan Regions Federal (Belém, Fortaleza, Recife, Salvador, Belo Horizonte, Rio de Janeiro, São Paulo, Curitiba and Porto Alegre) and all the other cities of Brazil, stratified by the five macro-regions.</t>
  </si>
  <si>
    <t>Five cities: Bogotá, Pereira, Medellín, Armenia and Cucuta</t>
  </si>
  <si>
    <t>Target population - used cocaine base, crack or other smokable cocaine for at least 25 days during the six months prior to survey and / or have injected at least once any of these substances in the same time period. HIV prevalence among lifetime PWID.</t>
  </si>
  <si>
    <t>904 (94 females)</t>
  </si>
  <si>
    <t>Cebu City and Mandaue City</t>
  </si>
  <si>
    <t>846, 103 females (Cebu (436 males, 103 females) Mandaue (307 males)</t>
  </si>
  <si>
    <t>Bangkok, Chiang Mai and Songhkla</t>
  </si>
  <si>
    <t>five cities: Kabul, Herat, Mazar-i-Sharif, Jalalabad, and Charikar</t>
  </si>
  <si>
    <t>1,163 ( Kabul, 369; Herat, 186; Mazar-i-Sharif, 254; Jalalabad, 237; Charikar, 117)</t>
  </si>
  <si>
    <t>Amman, Aqaba and Irbid</t>
  </si>
  <si>
    <t>227 (Amman, 133; Aqaba, 78; Irbid, 16)</t>
  </si>
  <si>
    <t>339 (17 females at most)</t>
  </si>
  <si>
    <t>394 (Damascus, 47; Lattakia, 103; Tartous, 244)</t>
  </si>
  <si>
    <t>18 - 50 (under l8 with parents/guardian consent)</t>
  </si>
  <si>
    <t>Male’ (which includes Hulhumale’ and Vilingili), Addu and Laamu (Gan)</t>
  </si>
  <si>
    <t>276; 9 females (Male’ (147, 4 females), Addu (129, 5 females))</t>
  </si>
  <si>
    <t>current PWID who have been injecting for at least three months (all surveys)</t>
  </si>
  <si>
    <t>16 and older in all surveys</t>
  </si>
  <si>
    <t>Male only in all surveys</t>
  </si>
  <si>
    <t>Colombo</t>
  </si>
  <si>
    <t>Tirana</t>
  </si>
  <si>
    <t xml:space="preserve"> Sarajevo (200, 28 females), Banja Luka (260, 28 females), Zenica (209, 10 females), Mostar (200, 24 females) and Bijeljina (130, 13 females)</t>
  </si>
  <si>
    <t>Three cities: Zagreb, Split and Rijeka</t>
  </si>
  <si>
    <t>Total 830 (Zagreb, 176; Split, 399; Rijeka,255). Females: Zagreb, 32; Split, 86; Rijeka, 65</t>
  </si>
  <si>
    <t>municipality of Chisinau, municipality of Balti, Tiraspol town and Ribnita town</t>
  </si>
  <si>
    <t>402 (40 females)</t>
  </si>
  <si>
    <t>Belgrade, Novi Sad and Nis</t>
  </si>
  <si>
    <t>399 Belgrade (76 females), 295 Novi Sad (49 females) and 300 Nis (54 females)</t>
  </si>
  <si>
    <t>29 cities: Bila Tserkva, Vasilkov, Vinnitsa, Dnepropetrovsk, Donetsk, Zhytomyr, Zaporizhia, Ivano-Frankivsk, Kyiv, Kirovograd, Lugansk, Lutsk, Lviv, Mykolayiv, Odesa, Poltava, Rivne, Sevastopol, Simferopol, Sumy, Ternopol, Uzhgorod, Fastiv, Kharkiv Kherson, Khmelnytsky, Cherkasy, Chernivtsi, Chernihiv.</t>
  </si>
  <si>
    <t>Vorarlberg, Vienna, Graz</t>
  </si>
  <si>
    <t>18 - 55</t>
  </si>
  <si>
    <t>180 (35 females)</t>
  </si>
  <si>
    <t>Largest cities</t>
  </si>
  <si>
    <t>Five cities (Lille, Strasbourg, Paris, Bordeaux, Marseille) and two departments (Seine-et-Marne, Seine-Saint-Denis)</t>
  </si>
  <si>
    <t>Eight cities: Berlin, Essen, Leipzig, Frankfurt / Main, Cologne, Hannover, Munich, Hamburg.</t>
  </si>
  <si>
    <t>2,077 (Berlin, 337; Essen, 197; Leipzig, 130; Frankfurt / Main, 285; Cologne, 322; Hannover, 252; Munich, 235; Hamburg, 319)</t>
  </si>
  <si>
    <t>National (6 out of total 7 regions are covered)</t>
  </si>
  <si>
    <t>Sub-national</t>
  </si>
  <si>
    <t>A;  Seroprevalence study (Respondent Driven Sampling)</t>
  </si>
  <si>
    <t>A;  Seroprevalence study</t>
  </si>
  <si>
    <t>A;  Seroprevalence study (Respondent Driven Sampling included among studies reviewed)</t>
  </si>
  <si>
    <t>B;  Registration or notification of cases of HIV infection (e.g. from treatment services). Data from HIV screening centres (centres de dépistage).</t>
  </si>
  <si>
    <t>A;  Seroprevalence study (Respondent-driven sampling)</t>
  </si>
  <si>
    <t xml:space="preserve">B;  Registration or notification of cases of HIV infection (e.g. from treatment services) </t>
  </si>
  <si>
    <t>A;  Seroprevalence study - cross-sectional surveys conducted at sentinel sites across Canada</t>
  </si>
  <si>
    <t>C;  Prevalence study using self-reported HIV</t>
  </si>
  <si>
    <t>A;  Seroprevalence study. Convenience sampling of volunteers</t>
  </si>
  <si>
    <t>A;  Seroprevalence study ( Respondent Driven Sampling)</t>
  </si>
  <si>
    <t>B;  Registration or notification of cases of HIV infection (e.g. from treatment services)</t>
  </si>
  <si>
    <t>A;  Seroprevalence study (Respondent driven sampling)</t>
  </si>
  <si>
    <t>A;  Seroprevalence study (Sentinel surveillance)</t>
  </si>
  <si>
    <t>A;  Seroprevalence study (Resondent driven sampling)</t>
  </si>
  <si>
    <t>A;  Seroprevalence study - snowball sampling</t>
  </si>
  <si>
    <t>A;  Seroprevalence study - random sampling among PWID enrolled in specialized services (CSAPA and CAARUD)</t>
  </si>
  <si>
    <t>A;  Seroprevalence study (Responding driven sampling)</t>
  </si>
  <si>
    <t>A;  Seroprevalence study - multi-site study among attendees at needle and syringe programmes</t>
  </si>
  <si>
    <t>A;  Seroprevalence study - needle exchange attendees</t>
  </si>
  <si>
    <t>Prevalence for Cairo reported.  HIV sero-prevalence: 6.8% (95% CI=3.9-10.8%) for PWID in Cairo and 6.5% (95% CI=3.3-10.3%) in Alexandria. No national estimate calculated in survey report.</t>
  </si>
  <si>
    <t>Study conducted at a single site.</t>
  </si>
  <si>
    <t>Part of the country (4 Districts in 2 Regions with high prevalence rate of HIV/AIDS infection)</t>
  </si>
  <si>
    <t>Multistage sampling was used through probability proportional to size (PPS). In selected counties, cities were selected using PPS.</t>
  </si>
  <si>
    <t>"Some study limitations should be highlighted. First, the survey explored a precarious population and did not reach DUs from higher social classes where cocaine use seems to be 565 more frequently reported. Second, despite having selected female and young ‘‘seeds,’’ the recruitment was very low among both groups. Our results may not be considered as fully representative of those two groups."</t>
  </si>
  <si>
    <t>Prevalence of 3% in Bogotá, 8.9% in Pereira, Medellin 4.4%, 2.7% in Armenia and 6.7% in Cucuta. Range in estimates presented.</t>
  </si>
  <si>
    <t>Sample size 519,721</t>
  </si>
  <si>
    <t>Mandatory screening for admission to rehabilitation (7 HIV positive out of 151 screened). "However, these data are not representative of the total population of IDU and no community-based prevalence studies have been carried out."</t>
  </si>
  <si>
    <t>National programme data. Three positive tests from 7184.</t>
  </si>
  <si>
    <t>Zero cases of HIV.</t>
  </si>
  <si>
    <t>Two HIV positive cases.</t>
  </si>
  <si>
    <t xml:space="preserve">HIV prevalence among PWID in all three cities was low - 0.2 % in Zagreb, 0.2 % in Rijeka and 0.3%  in Split. UNODC have presented prevalence as the range.  </t>
  </si>
  <si>
    <t>Based on 2 cases reported between 2006 and 2008 from 15 needle and syringe programmes (1,615 clients)</t>
  </si>
  <si>
    <t>The results showed that estimated HIV seroprevalence among respondents was 1.5% in Belgrade, 1% in Nis and 0%  in Novi Sad. UNODC used these as high, medium and low prevalence estimates.</t>
  </si>
  <si>
    <t xml:space="preserve">Prevalence of HIV determined from postmortem samples from drug related deaths (DRDs). </t>
  </si>
  <si>
    <t>Needle and syringe program clients.</t>
  </si>
  <si>
    <t>M. Malekinejad and others. High hepatitis C virus prevalence among drug users in Iran: systematic review and meta-analysis of epidemiological evidence (2001–2012). International Journal of Infectious Diseases 40 (2015) 116–130</t>
  </si>
  <si>
    <t>A; Seroprevalence study (Respondent-driven sampling)</t>
  </si>
  <si>
    <t>City of San Juan</t>
  </si>
  <si>
    <t>442 (74 females)</t>
  </si>
  <si>
    <t>2005-2008</t>
  </si>
  <si>
    <t>21 - 64</t>
  </si>
  <si>
    <t>Perez CM, Marrero E, Melendez M, Androvet S, Colon H, et al. (2010). Seroepidemiology of viral hepatitis, HIV and herpes simplex type 2 in the household population aged 21–64 years in Puerto Rico. BMC Infect Dis 10:76.</t>
  </si>
  <si>
    <t xml:space="preserve">B2;  General Population Survey (National Health and Nutrition Examination Survey (NHANES)) </t>
  </si>
  <si>
    <t>Survey was designed using a stratified, multistage, probability cluster sample of all households in Puerto Rico. A total of 1,654 adults participated in the study.</t>
  </si>
  <si>
    <t>Nikfarjam, A. and others. National population size estimation of illicit drug users through the network scale-up method in 2013 in Iran. International Journal of Drug Policy 31 (2016) 147–152.</t>
  </si>
  <si>
    <t>2009-10</t>
  </si>
  <si>
    <t>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t>
  </si>
  <si>
    <t>HBsAg+ Among 3010 males who inject drugs sampled across 10 provinces.</t>
  </si>
  <si>
    <t xml:space="preserve"> Ukrainian State Statistics Service, IBBS survey among PWID 2015</t>
  </si>
  <si>
    <t xml:space="preserve">A;  Indirect Estimate (Multiplier Methods incorporated into Respondent Driven Sampling). </t>
  </si>
  <si>
    <t>A; Indirect Estimate (Capture-recapture using unique object and service multiplier (Toamasina) methods incorporated into Respondent Driven Sampling)</t>
  </si>
  <si>
    <t>No national estimate given or extrapolation. UNODC summed PWID in three cities. Report gives range of 1 - 2% prevalence across the 3 cities. Simple summation gives 0.12% of 15-64 population.</t>
  </si>
  <si>
    <t>NACP held a one-day workshop on April 14, 2014, to discuss and reach consensus among key stakeholders on key population estimates for mainland Tanzania. The consensus-building workshop reviewed the existing evidence and evaluated specific studies with a view to identifying study limitations and knowledge gaps. A Delphi method was used to seek consensus on the estimated size of and HIV prevalence among the three key populations in Tanzania. Each key population group had an expert panel of 9 to 14 people, each with extensive experience in and knowledge of the key population group in the Tanzanian context.</t>
  </si>
  <si>
    <t>D1; Experts’ judgment with method by which estimate was obtained known (eg, rapid assessment); Delphi method or other consensus estimate; government registration of drug users</t>
  </si>
  <si>
    <t>Utilized three different data series to estimate the number of PWID nationally: (1) data from the CDC’s CTS which monitors the utilization of counselling and testing services in CDC supported sites; (2) the SAMHSA’s TEDS to determine the number of injectors entering treatment nationwide each year; and (3) the Uniform Crime Reporting Program County-Level Detailed Arrest and Offense time series data, produced and distributed by Inter-university Consortium for Political and Social Research (ICPSR), to calculate the number of arrests for possession of opium, cocaine, and their derivatives (i.e., ‘‘hard’’ drug arrests). These data include arrests of non-injecting users and of PWID.  Then created an annual index for each data series and average indices across 3 datasets. Anchor index using Holmberg’s 1992 estimates and Friedman’s 1998 estimates and average.</t>
  </si>
  <si>
    <t>A;  Indirect Estimate (capture-recapture based on unique object distribution incorporated into respondent-driven sample; multiplier methods using HIV testing and PWID reached by Global Fund program)</t>
  </si>
  <si>
    <t>Implemented a self-administered questionnaire to 7535 passers-by from the general public by street-based random walk quota sampling (based on gender, age and socio-economic status).</t>
  </si>
  <si>
    <t>Part of country or sub-group</t>
  </si>
  <si>
    <t>Patients admitted to National Centre for Rehabilitation of Addicts. Reference population 2129. All heroin users</t>
  </si>
  <si>
    <t>Size Estimation, Risk Behaviour Assessment, and Disease Prevalence in Populations at High Risk for HIV Infection in Lebanon. Prepared for: Middle East and North Africa Harm Reduction Association (MENAHRA), Beirut, Lebanon</t>
  </si>
  <si>
    <t xml:space="preserve">Risk Behaviour Mapping Survey. Using both geographical mapping and network analysis. </t>
  </si>
  <si>
    <t>A;  Indirect Estimate (Multiplier method). PWIDs registered with NGOs . Respondents selected through RDS</t>
  </si>
  <si>
    <t>The estimate is based on a capture-recapture estimate made on newly admitted patients in the treatment registry in each of the years 2003 and 2005 and those registered in DEADHEP (a study to examine whether or not the deceased suffered from hepatitis as a sign of injecting drug use) in 2006 (a total of 5,126 subjects).</t>
  </si>
  <si>
    <t>National estimate based on eight cities: Bratislava, Trnava, Nitra, Sereď, Banská Bystrica, Žiar nad Hronom, Prešov and Košice.</t>
  </si>
  <si>
    <t>EMCDDA. 1) The Centre for Drug Misuse Research (2006). Estimating the Prevalence of Problem Opiate and Problem Cocaine Use in Northern Ireland. Drug and Alcohol Information and Research Unit, Department of Health, Social Services and Public Safety Northern Ireland, Belfast. Available: http://www.dhsspsni.gov.uk/opiate_cocaine.pdf  2)  Hay, G., dos Santos, A.R. and Millar, T. (2013).  National and regional estimates of the prevalence of opiate use and/or crack cocaine use, 2010/11: a summary of key findings. NTA. London. Available:  http://www.nta.nhs.uk/uploads/prevalencesummary2013v1.pdf</t>
  </si>
  <si>
    <t>FHI/MOH Egypt, 2010. HIV/AIDS Biological &amp; Behavioural Surveillance Survey: Round Two Summary Report, Cairo, Egypt 2010. FHI in collaboration with the Ministry of Health and support from the Global Fund</t>
  </si>
  <si>
    <t>Centers for Disease Control and Prevention. HIV Infection, Risk, Prevention, and Testing Behaviors among Persons Who Inject Drugs—National HIV Behavioural Surveillance: Injection Drug Use, 20 U.S. Cities, 2012. HIV Surveillance Special Report 11. Revised edition. http://www.cdc.gov/hiv/library/reports/surveillance/. Published August 2015.</t>
  </si>
  <si>
    <t>The Centers for Disease Control and Prevention’s (CDC’s) 2012 National HIV Behavioural Surveillance (NHBS)</t>
  </si>
  <si>
    <t xml:space="preserve">2015 Integrated HIV Behavioural and Serologic Surveillance. Ministry of Health. Epidemiology Bureau. See:  2015 IHBSS fact sheets. Integrated HIV Behavioural and Serologic Surveillance. Ministry of Health. Epidemiology Bureau and UNAIDS AIDSInfo. </t>
  </si>
  <si>
    <t>Integrated Biological &amp; Behavioural Surveillance (IBBS) in Selected Cities of Afghanistan. Findings of 2012 IBBS survey and comparison to 2009 IBBS survey. National AIDS Control Program (NACP) Ministry of Public Health, Afghanistan November 2012.</t>
  </si>
  <si>
    <t>Strengthening HIV prevention among most-at-risk populations (MARPs) in the Syrian Arab Republic. The Integrated Bio-Behavioural Survey (IBBS) in Syria: 2013-2014. Final Report. Oct. 13, 2014</t>
  </si>
  <si>
    <t>Kathmandu Valley (340), Pokhara Valley (345), Eastern Terai (360) and Western Terai (300)</t>
  </si>
  <si>
    <t>A;  Seroprevalence studies (Respondent Driven Sampling (Kathmandu Valley, Pokhara Valley), two-stage cluster sampling (Eastern Terai and Western Terai))</t>
  </si>
  <si>
    <t>Five cities: Sarajevo, Banja Luka, Zenica, Mostar and Bijeljina</t>
  </si>
  <si>
    <t>Behavioural and Biological Surveillance Study among Injection Drug Users in Bosnia and Herzegovina, 2012:  A Respondent-Driven Sampling Survey. Institute for Public Health FB&amp;H. November 2012.</t>
  </si>
  <si>
    <t>National Institute for Health and Welfare THL: Bio-behavioural study 2014</t>
  </si>
  <si>
    <t xml:space="preserve">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
</t>
  </si>
  <si>
    <t>National Institute for Health and Welfare THL: Bio-behaviour study 2014</t>
  </si>
  <si>
    <t xml:space="preserve">Grogan L, Tiernan M, Geoghegan N, et al (2005) et al. Bloodborne virus infections among drug users in Ireland: a retrospective cross-sectional survey of screening, prevalence, incidence and hepatitis B immunisation uptake. Irish Journal of Medical Science, 174(2):14-20. </t>
  </si>
  <si>
    <t>Government (MS comments WDR2016)</t>
  </si>
  <si>
    <t>n2=n1(p2/p1)</t>
  </si>
  <si>
    <t>2013/15</t>
  </si>
  <si>
    <t>MS comments WDR2017</t>
  </si>
  <si>
    <t>Stockholm Needle Exchange and the National Agency of Public Health</t>
  </si>
  <si>
    <t>Data from newly registered persons at Stockholm Needle Exchange combined with national data from the National Agency of Public Health</t>
  </si>
  <si>
    <t>Government source</t>
  </si>
  <si>
    <t>Among newly registered PWID at Stockholm Needle Exchange combined with national data from the National Agency of Public Health</t>
  </si>
  <si>
    <t>Government</t>
  </si>
  <si>
    <t>2010/11 and 2014/15</t>
  </si>
  <si>
    <t xml:space="preserve">Government    </t>
  </si>
  <si>
    <t>Prevalence presented as range in the estimates for Al Hoceima (7.3%) and Nador (77%).</t>
  </si>
  <si>
    <t>United Kingdom (England, Wales and Northern Ireland)</t>
  </si>
  <si>
    <t>PWID estimate for UK, Divided according to 0.916 of the population in England and Wales, and Northern Ireland. 0.084 of the population in Scotland</t>
  </si>
  <si>
    <t xml:space="preserve">MS comments/ Government Report </t>
  </si>
  <si>
    <t>ARQ/ survey article / MS comments WDR2017</t>
  </si>
  <si>
    <t>Hepatitis C (HCV) Among People Who Inject Drugs</t>
  </si>
  <si>
    <t>Hepatitis B (active infection) Among People Who Inject Drugs</t>
  </si>
  <si>
    <t>Democratic People's Republic of Korea</t>
  </si>
  <si>
    <t>Czechia</t>
  </si>
  <si>
    <t>Year of esimate</t>
  </si>
  <si>
    <t>Year of estimate</t>
  </si>
  <si>
    <t>"current"</t>
  </si>
  <si>
    <t>1000 heroin and 2000 cocaine. UNODC used 2500 assuming some poly-drug use.</t>
  </si>
  <si>
    <t xml:space="preserve">Repeated cross-sectional surveys conducted in 2011 among users of low threshold facilities with needle exchange programmes and/or supervised drug consumption rooms for injection or inhalation. </t>
  </si>
  <si>
    <t>SSD</t>
  </si>
  <si>
    <t>KS file</t>
  </si>
  <si>
    <t>UNAIDS (Ministry of Health, Projection Results AEM and Spectrum, 2016)</t>
  </si>
  <si>
    <t>A;  Indirect Estimate (HIV Multiplier method)</t>
  </si>
  <si>
    <t>EMCDDA. Country Drug Report 2017 —  Belgium. Scientific Institute of Public Health.</t>
  </si>
  <si>
    <t xml:space="preserve">A;  Indirect Estimate (Capture-recapture) Treatment data. </t>
  </si>
  <si>
    <t>A;  Indirect Estimate (Combined methods) Drug-related deaths.</t>
  </si>
  <si>
    <t>EMCDDA. Croatia - Country Drug Report 2017. Government of the Republic of Croatia, Office for Combating Drugs Abuse.</t>
  </si>
  <si>
    <t>"Active"</t>
  </si>
  <si>
    <t>The data is based on cases (episodes) and not unique individuals so a person could appear more than once in the data.</t>
  </si>
  <si>
    <t>General population survey 2016</t>
  </si>
  <si>
    <t>http://www.batut.org.rs/download/publikacije/20140626IstrazivanjeStiloviZivotaE.pdf</t>
  </si>
  <si>
    <t xml:space="preserve">A;  Seroprevalence study </t>
  </si>
  <si>
    <t>2nd Generation HIV Surveillance in Pakistan Round 5. Integrated Biological and Behavioral Surveillance in Pakistan 2016-17, April 2017.</t>
  </si>
  <si>
    <t>13 and older</t>
  </si>
  <si>
    <t>A;  Seroprevalence study (recruited through multistage cluster sampling)</t>
  </si>
  <si>
    <t>4,062 (0.6% female)</t>
  </si>
  <si>
    <t>2016-17</t>
  </si>
  <si>
    <t>ks file</t>
  </si>
  <si>
    <t>ks file. Survey report</t>
  </si>
  <si>
    <t>A;  Seroprevalence study (Purposive sampling at HIV testing sites)</t>
  </si>
  <si>
    <t>HIV Sero-prevalence study for key populations, May 2015.  National HIV and AIDS Secretariat.</t>
  </si>
  <si>
    <t>4 cities (Freetown, Bo, Makeni, Kenema)</t>
  </si>
  <si>
    <t>File from KS</t>
  </si>
  <si>
    <t>B;  Registration or notification of cases of HIV infection (e.g. from treatment services). National programme data.</t>
  </si>
  <si>
    <t>UNAIDS. Rapport annuel PSSP 2016.</t>
  </si>
  <si>
    <t>HBsAg. National.</t>
  </si>
  <si>
    <t>HBsAg. 596 tested.</t>
  </si>
  <si>
    <t>HBsAg. PWID in contact with needle and syringe programmes. Sub-national estimate.</t>
  </si>
  <si>
    <t>Drug users attending methadone clinics (8,046 clients)</t>
  </si>
  <si>
    <t>Croatian National Public Health Institute</t>
  </si>
  <si>
    <t>2001/02</t>
  </si>
  <si>
    <t>Dublin</t>
  </si>
  <si>
    <t>A total of 1,459 current or former heroin users were attending specialist addiction treatment centres (21 clinics providing methadone treatment)</t>
  </si>
  <si>
    <t>ARQ / journal article</t>
  </si>
  <si>
    <t>Carew AM, Murphy N, Long J, Hunter K, Lyons S, Walsh C, Thornton L. Incidence of hepatitis C among people who inject drugs in Ireland. Hepatology, Medicine and Policy. 2017 2(7)</t>
  </si>
  <si>
    <t>GARPR / Published article / ARQ</t>
  </si>
  <si>
    <t>Ministry of Health and Institute Public Health. Surveys among most at risk populations, 2013. November, 2014</t>
  </si>
  <si>
    <t>Ministry of Health and Institute Public Health. Surveys among most at risk populations, 2013. November, 2014.</t>
  </si>
  <si>
    <t>Addis Ababa</t>
  </si>
  <si>
    <t>238 (12 females)</t>
  </si>
  <si>
    <t>HIV Integrated Behavioral and Biological Survey (IBBS) among People who Inject Drugs in Addis Ababa, Ethiopia. Ethiopian Public Health Institute (EPHI), United Nations Office of Drug and Crime (UNODC), Addis Ababa, Ethiopia, 2015</t>
  </si>
  <si>
    <t>HBsAg. Injecting in past 6 months. Aged 15 and older. Sub-national, Addis Ababa. Sample size, 238 (12 females).</t>
  </si>
  <si>
    <t>survey reprot</t>
  </si>
  <si>
    <t>Four survey reports: (1) National Centre for AIDS and STD Control (NCASC) 2015. Integrated Biological and Behavioural Surveillance (IBBS) Survey among People Who Inject Drugs (PWID) in Kathmandu Valley, Round 6, 2015. (2) National Centre for AIDS and STD Control (NCASC) 2015. Integrated Biological and Behavioural Surveillance (IBBS) Survey among People Who Inject Drugs (PWID) in Pokhara Valley, Round 6, 2015. (3) National Centre for AIDS and STD Control (NCASC). Integrated Biological and Behavioural Surveillance (IBBS) Survey among People Who Inject Drugs (PWID) in Eastern Terai Highway Districts of Nepal, 2017 (Round VII). (4)  National Centre for AIDS and STD Control (NCASC). Integrated Biological and Behavioural Surveillance (IBBS) Survey among People Who Inject Drugs (PWIDs) in Western Terai Highway Districts of Nepal, 2017 ( Round VI).</t>
  </si>
  <si>
    <t>Range given by UNODC is a reflection of the results of 4 IBBS studies conducted in 2015 (Kathmandu Valley, 6.4%; Pokhara Valley, 2.8%) and 2017 (Eastern Terai, 3.3%; Western Terai, 5.3%)</t>
  </si>
  <si>
    <t>Prevalence is a reflection of the results of 4 IBBS studies conducted in 2015 (Kathmandu Valley, 0%; Pokhara Valley, 1.8%) and 2017 (Eastern Terai, 0.8%; Western Terai, 2.7%) calculated as the average of the range 0% - 1.8%. Sample sizes: Katmandu Valley (340), Pokhara Valley (345), Eastern Terai (360) and Western Terai (300). Only male PWID.</t>
  </si>
  <si>
    <t>2015 (Kathmandu Valley, Pokhara Valley) /2017 (Eastern Terai, Western Terai)</t>
  </si>
  <si>
    <t xml:space="preserve">Zero cases of HIV. Also note a Sentinel sero-surveillance survey was conducted in 2016. PWID were enrolled from both STD clinics and outreach activities.  Among 172 PWID tested, none were living with HIV (see: National STD/AIDS Control Programme, Sri Lanka. Annual Report 2016. Ministry of Health). </t>
  </si>
  <si>
    <t xml:space="preserve">A;  Indirect Estimate (Multiple methods)   </t>
  </si>
  <si>
    <t>Government controlled areas</t>
  </si>
  <si>
    <t>Upper estimate: Hard drug users under treatment, excluding marijuana users only or alcohol users only, in all rehabilitation centers operated in Nepal. For the multiplier data, current hard drug users were sampled and interviewed from each of the selected spots within the selected areas.  Total sample size 1,365. 4% interviews among females. The study highlights that 56.6% of hard drug users are PWID.</t>
  </si>
  <si>
    <t>Lower estimate: 2016; Upper estimate: 2012</t>
  </si>
  <si>
    <t>Lower estimate: 16 and older</t>
  </si>
  <si>
    <t>Lower estimate:  44 districts; Upper estimate: National (Study area comprised 18 districts including 26 municipalities spread over all five regions)</t>
  </si>
  <si>
    <t>Lower estimate: UNAIDS; Upper estimate: Survey Report on Current Hard Drug Users in Nepal - 2069. Central Bureau of Statistics. Ministry of Home Affairs.  Government of Nepal.</t>
  </si>
  <si>
    <t>Dakar region with extrapolation to national estimate</t>
  </si>
  <si>
    <t>Journal article / KS</t>
  </si>
  <si>
    <t>This is an estimate based on the results of the size of the injecting drug user population in Dakar in 2011, with estrapolation to national estimate.</t>
  </si>
  <si>
    <t>A;  Seroprevalence study (respondent driven sampling)</t>
  </si>
  <si>
    <t>China, Taiwan Province of China</t>
  </si>
  <si>
    <t>Faroe Islands</t>
  </si>
  <si>
    <t>Sint Maarten (Dutch part)</t>
  </si>
  <si>
    <t xml:space="preserve">ARQ </t>
  </si>
  <si>
    <t>Encuesta Nacional de Consumo de Drogas, Alcohol y Tabaco 2016-2017. Reporte de Drogas.  SSA, CONADIC, INPRFM, INSP. México, 2017.</t>
  </si>
  <si>
    <t>Subnational</t>
  </si>
  <si>
    <t>In Dhaka A1, those who injected in the last two months and in Dhaka A2 those who injected in the last 12 months</t>
  </si>
  <si>
    <t>email from UNAIDS country manager</t>
  </si>
  <si>
    <t>A;  Seroprevalence study. In Dhaka A1, IBBS was conducted using time-location sampling.  Dhaka A2, a convenience sampling method was used.</t>
  </si>
  <si>
    <t>Results of Second Generation Surveillance in Kyrgyz Republic, HIV-infection in PWID, 2013</t>
  </si>
  <si>
    <t>Moriggia A, Bregenzer A, Bruggmann P, Castro E, Rothen M, Rougemont M, Schmid P, Staehelin C, Thurnheer C, Scheidegger C. Prospective data on people who use drugs in Switzerland: the SAMMSU cohort.</t>
  </si>
  <si>
    <t>SEXTO ESTUDIO NACIONAL SOBRE CONSUMO DE SUSTANCIAS PSICOACTIVAS EN POBLACIÓN DE 12 A 65 AÑOS. OAD/SEDRONAR 2017.</t>
  </si>
  <si>
    <t>2004-2016</t>
  </si>
  <si>
    <t>MS comments wdr2018</t>
  </si>
  <si>
    <t xml:space="preserve">Based on the total number of registered cases in the National Registry for Addiction </t>
  </si>
  <si>
    <t xml:space="preserve"> National Registry for Addiction</t>
  </si>
  <si>
    <t>National Registry for Addiction</t>
  </si>
  <si>
    <t>Aged 15-64</t>
  </si>
  <si>
    <t>Register of drug users</t>
  </si>
  <si>
    <t>MS comments WDR2018</t>
  </si>
  <si>
    <t>Scotland (Lothian and Greater Glasgow and Clyde)</t>
  </si>
  <si>
    <t xml:space="preserve">Health Protection Scotland, University of the West of Scotland, Glasgow Caledonian University and the West of Scotland Specialist Virology Centre. The Needle Exchange Surveillance Initiative: Prevalence of blood-borne viruses and injecting risk behaviours among people who inject drugs attending injecting equipment provision services in Scotland, 2008-09 to 2015-16. Glasgow: Health Protection Scotland, March 2017.
</t>
  </si>
  <si>
    <t>Among individuals participating in a voluntary anonymous survey of people who inject drugs attending needle and syringe programmes; samples for HIV testing were only collected from Lothian and Greater Glasgow and Clyde regions</t>
  </si>
  <si>
    <t>Health Protection Scotland, University of the West of Scotland, Glasgow Caledonian University and the West of Scotland Specialist Virology Centre. The Needle Exchange Surveillance Initiative: Prevalence of blood-borne viruses and injecting risk behaviours among people who inject drugs attending injecting equipment provision services in Scotland, 2008-09 to 2015-16. Glasgow: Health Protection Scotland, March 2017.</t>
  </si>
  <si>
    <t>MS comments, wdr2018</t>
  </si>
  <si>
    <t xml:space="preserve">B;  Registration or notification of cases of HIV infection in health units </t>
  </si>
  <si>
    <t>reference population for rate= 18,247,019 in ARQ</t>
  </si>
  <si>
    <t>ARQ/MS comments WDR2018</t>
  </si>
  <si>
    <t>Seven cities  (Tbilisi, Gori, Telavi, Zugdidi, Batumi, Kutaisi and Rustavi)</t>
  </si>
  <si>
    <t>HIV risk and prevention behaviors among People Who Inject Drugs in seven cities of Georgia, Integrated Bio-Behavioral Surveillance Survey in seven cities of Georgia, Study Report, November 2017.</t>
  </si>
  <si>
    <t>Ministry of Health. Source for registered PWID: Основные показатели деятельности наркологической службы в Российской Федерации в 2015-2016 годах. Москва 2017</t>
  </si>
  <si>
    <t>A;  Indirect Estimate, treatment multiplier and registered PWID</t>
  </si>
  <si>
    <t>Lower estimate: past 12 months</t>
  </si>
  <si>
    <t xml:space="preserve">Estimated number of PWID calculated using number of registered PWID (262,924) and a treatment multipler of 5. These estimates are based on a methodology that uses a latency multiplier calculated in 2006-2009, when the population of opioid users is believed to have been larger than in 2016. These estimates must be used on the understanding that they are currently under review owing to changes in trends with respect to the reasons why patients seek the assistance of medical organizations in treating drug abuse. </t>
  </si>
  <si>
    <t>238 (12 females).</t>
  </si>
  <si>
    <t>Multiple sites</t>
  </si>
  <si>
    <t>Two major urban areas (Maputo and Nampula)</t>
  </si>
  <si>
    <t>B; Registration or notification of cases of HCV infection (e.g. from treatment services)</t>
  </si>
  <si>
    <t>Al Hoceima and Nador</t>
  </si>
  <si>
    <t>D1; Official government estimate with no methodology reported</t>
  </si>
  <si>
    <t>A; Multiple Methods</t>
  </si>
  <si>
    <t>Among 3,008 PWID in 57 treatment centers</t>
  </si>
  <si>
    <t>A; Seroprevalence study (Time-location sampling)</t>
  </si>
  <si>
    <t>used crack cocaine and / or similar (home folder, merla and oxy) at least 25 days in the past six months (approximately once per week).  Among the sample 9% were lifetime PWID.</t>
  </si>
  <si>
    <t>A; Seroprevalence study</t>
  </si>
  <si>
    <t xml:space="preserve">Maria Luz Osimani, Rodolfo Vazquez Pedrouzo, Hector Chiparelli, .Monica Guchin, Laura Latorre, Georgina Garibotto, Gherardi Alejandro Perez. Jael Vidal. Seroprevalence for human immunodeficiency virus , hepatitis B and C in injecting drug users . Uruguay, 2003. Rev Med Uruguay 2005; 21: 207-214. </t>
  </si>
  <si>
    <t>Montevideo and the metropolitan area</t>
  </si>
  <si>
    <t>200 (60 females)</t>
  </si>
  <si>
    <t>A; Seroprevalence study (Snowball sampling)</t>
  </si>
  <si>
    <t>A; Seroprevalence study (Respondent driven sampling)</t>
  </si>
  <si>
    <t>Three largest cities:  Yerevan, Gyumri, and Vanadzor</t>
  </si>
  <si>
    <t>Seven cities  (Tbilisi, Gori, Telavi, Zugdidi, Batumi, Kutaisi and Rustavi).</t>
  </si>
  <si>
    <t xml:space="preserve"> 2,050 (39 females)</t>
  </si>
  <si>
    <t>report</t>
  </si>
  <si>
    <t>Ministry of Health of Republic of Kyrgyzstan. Estimation of size of people who inject drugs in Republic of Kyrgyzstan. 2013, Bishkek (in Russian)</t>
  </si>
  <si>
    <t>See also: HIV/AIDS Programme in Kyrgyzstan. Evaluation report December 2014. Prepared by: Maiken Mansfeld and Matti Ristola (WHO Collaborating Centre for HIV and Viral Hepatitis) and Giedrius Likatavicius</t>
  </si>
  <si>
    <t>Registration or notification of cases of HIV or HCV infection (e.g. from treatment services)</t>
  </si>
  <si>
    <t>Prevalence study using self-reported HIV or HCV</t>
  </si>
  <si>
    <t>ARQ / report</t>
  </si>
  <si>
    <t>A; Seroprevalence study (sentinel surveillance)</t>
  </si>
  <si>
    <t>All administrative territories</t>
  </si>
  <si>
    <t>5,600 (626 females)</t>
  </si>
  <si>
    <t xml:space="preserve"> Sentinel surveillance -  locations selected by Republican AIDS Centre using random sampling</t>
  </si>
  <si>
    <t>Four cities</t>
  </si>
  <si>
    <t xml:space="preserve">Integrated behavioural and biological rapid survey, 2014. </t>
  </si>
  <si>
    <t>ARQ: Ministry of Health</t>
  </si>
  <si>
    <t>ARQ: National Bureau of Narcotics. Ministry of Health.</t>
  </si>
  <si>
    <t xml:space="preserve">ARQ: Ministry of Health, National AIDS of Commission </t>
  </si>
  <si>
    <t xml:space="preserve">ARQ: Ministry of Foreign Affairs </t>
  </si>
  <si>
    <t>10 geographically diverse provinces (Hanoi, Da Nang, Ho Chi Minh City (HCMC), Can Tho, Hai Phong, Quang Ninh, Nghe An, Yen Bai, Dong Nai, An Giang)</t>
  </si>
  <si>
    <t>A; Seroprevalence study (respondent driven sampling (RDS) (Hanoi, Da Nang, Ho Chi Minh City (HCMC), Can Tho) or two-staged time-location sampling (TLS) (Hai Phong, Quang Ninh, Nghe An, Yen Bai, Dong Nai, An Giang))</t>
  </si>
  <si>
    <t>Five cities (Kabul, Herat, Mazar-i-Sharif, Jalalabad, and Charikar)</t>
  </si>
  <si>
    <t>13,821  (87.4% male)</t>
  </si>
  <si>
    <t xml:space="preserve">8 studies were conducted only in Tehran (the capital city), 12 in a city other than Tehran and 4 in multiple cities </t>
  </si>
  <si>
    <t>A; Seroprevalence study (all studies implemented cross- sectional designs and two applied respondent-driven sampling (RDS) for participant recruitment)</t>
  </si>
  <si>
    <t>Pooled prevalence from systematic review of 24 original studies. With respect to study setting, three recruited subjects from drop-in centers, seven from drug treatment clinics, two from the community, one from homes, four from health facilities including voluntary HIV counseling and testing (VCT) sites, one from a detention center and five from a mix of settings. One study did not report the recruitment setting.</t>
  </si>
  <si>
    <t>304 (17 of the 390 PWID recruited were females, but not all were tested for HCV)</t>
  </si>
  <si>
    <t>greater Beirut</t>
  </si>
  <si>
    <t>Government (MS comments WDR2018)</t>
  </si>
  <si>
    <t>ARQ: National Registry for Addiction</t>
  </si>
  <si>
    <t>Four cities: Damascus, Suburbs of Damascus (Rif Damascus), Lattakia and Tartous.</t>
  </si>
  <si>
    <t>1,243 (Dhaka)</t>
  </si>
  <si>
    <t>23 areas across the country</t>
  </si>
  <si>
    <t>HCV prevalence given for Dhaka only, as this is where most PWID reside</t>
  </si>
  <si>
    <t>15 cities from 11 states</t>
  </si>
  <si>
    <t>past 2 years</t>
  </si>
  <si>
    <t>14,481 (92·4% male)</t>
  </si>
  <si>
    <t>A; Seroprevalence studies (Respondent Driven Sampling (Kathmandu Valley, Pokhara Valley), two-stage cluster sampling (Eastern Terai and Western Terai))</t>
  </si>
  <si>
    <t>Kathmandu Valley (340), Pokhara Valley (345), Eastern Terai (360) and Western Terai (300).</t>
  </si>
  <si>
    <t xml:space="preserve">Range is a reflection of the results of 4 IBBS studies conducted in 2015 (Kathmandu Valley, 22%; Pokhara Valley, 13.1%) and 2017 (Eastern Terai, 38.1%; Western Terai, 23.7%). </t>
  </si>
  <si>
    <t>Males (all surveys)</t>
  </si>
  <si>
    <t>Kathmandu Valley, Pokhara Valley, Eastern Terai (Jhapa, Morang and Sunsari) and Western Terai (Kanchanpur, Kailali, Bardiya,  Banke,  Dang, Kapilvastu  and  Rupandehi)</t>
  </si>
  <si>
    <t>1,143 (Balti, (362, 86 females) Chisinau, (365, 50 females) Tiraspol (300) and Ribnita (115))</t>
  </si>
  <si>
    <t xml:space="preserve">Chisinau municipality prevalence reported. </t>
  </si>
  <si>
    <t>2011 Albania Behavioural and Biological Surveillance Study (Bio-BSS) Report; third round” Institute of Public Health, Tirana, 2011</t>
  </si>
  <si>
    <t>EMCDDA report</t>
  </si>
  <si>
    <t xml:space="preserve">Prevalence presented as a range from results of five cities ( Sarajevo (43.4%), Banja Luka (34.9%), Zenica (22.5%), Mostar (43.4%) and Bijeljina (12.0%)) </t>
  </si>
  <si>
    <t>ARQ reference to EMCDDA / study report</t>
  </si>
  <si>
    <t>Sofia</t>
  </si>
  <si>
    <t xml:space="preserve">HCV prevalence among PWID was 29.1% in Zagreb, 31.5% in Rijeka, 38.3% in Split. UNODC have presented prevalence as the range. </t>
  </si>
  <si>
    <t>Survey among street PWID. The results showed that estimated HCV seroprevalence among respondents was 61.4% in Belgrade, 54.7% in Nis and 50.2%  in Novi Sad. UNODC used these as high, medium and low prevalence estimates.</t>
  </si>
  <si>
    <t>ARQ: Ministry of Health / General Directorate of Health Services.</t>
  </si>
  <si>
    <t>Participants  were  recruited  through  various  low  threshold drug  treatment  centres</t>
  </si>
  <si>
    <t>EMCDDA 2013 national report</t>
  </si>
  <si>
    <t>EMCDDA / journal article</t>
  </si>
  <si>
    <t>Peer Brehm Christensen, Birgitte Kringsholm, Jytte Banner, Jørgen L. Thomsen, Susan Cowan, Gabriela Felicia Stein, Gitte Wulf Jürgensen, Kari Grasaasen, Jørgen Georgsen Court Pedersen: Surveillance of HIV and viral hepatitis by analysis of samples from drug related Deaths. Eur J Epidemiol 2006:21;383-387.</t>
  </si>
  <si>
    <t xml:space="preserve">Prevalence of HCV determined from postmortem samples from drug related deaths (DRDs). </t>
  </si>
  <si>
    <t xml:space="preserve">Needle exchange clients. </t>
  </si>
  <si>
    <t>5 cities (Paris, Marseille, Bordeaux, Lille, Strasbourg) and two departments (Seine-Saint-Denis, Seine et Marne).</t>
  </si>
  <si>
    <t>PWID recruited from specialized institutions (CSAPA and CAARUD)</t>
  </si>
  <si>
    <t xml:space="preserve"> enquête ANRS-Coquelicot 2011. Rapport DREES 2015 "Etat de santé de la population en France", chapitre "Prévalence du VIH et du VHC chez les usagers de drogues fréquentant les structures de prise en charge et de réduction des risques".</t>
  </si>
  <si>
    <t>PWID attending outpatient treatment centres or needle and syringe programmes</t>
  </si>
  <si>
    <t>PWID attending outpatient treatment centres and needle and syringe programmes</t>
  </si>
  <si>
    <t>National Centre for Epidemiology (Dudás, M., Rusvai, E., Győri, Z., Tarján, A., Horváth, G., Minárovits, J., Takács, M., Csohán, Á.  (2015):  A  hazai  intravénás  kábítószer-használattal  összefüggő  fertőzések  (HIV,  HBV, HCV) 2015. évi prevalenciájának vizsgálata. OEK. Submitted for publication.)</t>
  </si>
  <si>
    <t>ARQ: Directorate of Health</t>
  </si>
  <si>
    <t xml:space="preserve">Based on data from the National Drug Treatment Reporting System (NDTRS) </t>
  </si>
  <si>
    <t>ARQ: Ministry for the Family, Childrens' Rights and Social Solidarity (MFCS)</t>
  </si>
  <si>
    <t>ARQ; Norwegian Institute of Public Health</t>
  </si>
  <si>
    <t>ARQ; Stockholm Needle Exchange and the National Agency of Public Health</t>
  </si>
  <si>
    <t>Among 303 PWID</t>
  </si>
  <si>
    <t>lifetime (and to be or have been on opioid substitution)</t>
  </si>
  <si>
    <t xml:space="preserve">The numbers of PWID reported in the sheet "People who inject drugs (PWID)" are taken directly from the source document. The prevlence of injecting drug use is also taken directly from the source document where this is stated, otherwise it has been calculated by UNODC using the population aged 15-64 for the year of the survey (using population data from the UN World Population Prospects). For some countries no information on the number of PWID was reported, only an estimate of the prevalence of injecting drug use. </t>
  </si>
  <si>
    <t xml:space="preserve">Estimate from a non-official source with methodology unknown </t>
  </si>
  <si>
    <t>Data on the prevalence of HIV or HCV among people who inject drugs</t>
  </si>
  <si>
    <t>Whole of England, Wales and Northern Ireland</t>
  </si>
  <si>
    <t>Among individuals participating in a voluntary anonymous survey of people who inject drugs attending needle and syringe programmes</t>
  </si>
  <si>
    <t>ARQ; Ministry of Health (Needles Exchange Services Trust)</t>
  </si>
  <si>
    <t>ARQ; Ministry of Health</t>
  </si>
  <si>
    <t xml:space="preserve">ARQ; Department of Health   </t>
  </si>
  <si>
    <t>ARQ; Directorate of Health</t>
  </si>
  <si>
    <t>ARQ; Public Health Authority - Epidemiological information system</t>
  </si>
  <si>
    <t>ARQ; National Bureau of Narcotics. Ministry of Health.</t>
  </si>
  <si>
    <t>ARQ; Comisión Nacional Antidrogas</t>
  </si>
  <si>
    <t>UNAIDS (http://aidsinfo.unaids.org/# Accessed 5 October 2015)</t>
  </si>
  <si>
    <t>ARQ; Central Registry of Drug Abuse</t>
  </si>
  <si>
    <t xml:space="preserve">ARQ; National Registry for Addiction </t>
  </si>
  <si>
    <t>ARQ; National Drug Treatment Reporting System.</t>
  </si>
  <si>
    <t>ARQ; National Board of Health and Welfare</t>
  </si>
  <si>
    <t>GARPR2016 / report</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</si>
  <si>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the behavior and prevalence of HIV among people who inject drugs, and their sexual partners / Barskaya Yu.G., Sazonova Ya.O. - K .: ICF "Alliance of Public Health", 2016. - 130 p.)</t>
  </si>
  <si>
    <t>5,105 (965 females)</t>
  </si>
  <si>
    <t>Third National Survey on the Use of Drugs by the Brazilian Population.</t>
  </si>
  <si>
    <t>Seychelles Biological and Behavioural Surveillance of Heroin Users 2017. Agency for  the Prevention of Drug Abuse and Rehabilitation. February 2018.</t>
  </si>
  <si>
    <t xml:space="preserve">Mahé, Praslin and La Digue </t>
  </si>
  <si>
    <t>PWID who were current heroin users</t>
  </si>
  <si>
    <t>A;  Indirect Estimate. (1. unique  object  multiplier; 2. service multiplier (NSP, outreach))</t>
  </si>
  <si>
    <t>A;  Indirect Estimate (1. Capture-recapture 2. Multiplication 3. RDS)</t>
  </si>
  <si>
    <t>2007-10</t>
  </si>
  <si>
    <t>318 (34 females)</t>
  </si>
  <si>
    <t>Min JA, Yoon Y, Lee HJ, et al. Prevalence and associated clinical characteristics of hepatitis B, C, and HIV infections among injecting drug users in Korea. Journal of Medical Virology 2013; 85(4): 575-82.</t>
  </si>
  <si>
    <t xml:space="preserve">Male </t>
  </si>
  <si>
    <t>Lagos</t>
  </si>
  <si>
    <t xml:space="preserve"> Tun W, Vu L, Adebajo SB, et al. Population-based prevalence of hepatitis B and C virus, HIV, syphilis, gonorrhoea and chlamydia in male injection drug users in Lagos, Nigeria. International Journal of STD &amp; AIDS 2013; 24(8): 619-25.</t>
  </si>
  <si>
    <t>past 30 days</t>
  </si>
  <si>
    <t>Four rural towns (Cidra, Comerio, Aguas Buenas, and Cayey) in the mountainous area of central Puerto Rico, about 30–40 miles from San Juan</t>
  </si>
  <si>
    <t>315 (30 females)</t>
  </si>
  <si>
    <t>Abadie R, Welch-Lazoritz M, Gelpi-Acosta C, Reyes JC, Dombrowski K. Understanding differences in HIV/HCV prevalence according to differentiated risk behaviors in a sample of PWID in rural Puerto Rico. Harm Reduction Journal 2016; 13 (10).</t>
  </si>
  <si>
    <t>Male PWID. Lagos. Sample size 328.</t>
  </si>
  <si>
    <t>2007-2010</t>
  </si>
  <si>
    <t>HBsAg. sample size 318 (34 females)</t>
  </si>
  <si>
    <t>MISAU, INS, 2017. Final Report: The Mozambique Integrated Biological and Behavioral Survey among People Who Inject Drugs, 2014. Maputo, Mozambique.</t>
  </si>
  <si>
    <t>HIV prevalence among PWID in Maputo was 50.1% (40.1–59.0%) and in Nampula/Nacala was 19.9% (10.9–29.2%) Taken by UNODC as lower and upper estimates.</t>
  </si>
  <si>
    <t>The prevalence of hepatitis C was 44.6% (33.4–53.9%) in Maputo and 7.0% (2.0–12.5%) in Nampula/Nacala. Taken by UNODC as lower and upper estimates.</t>
  </si>
  <si>
    <t>Two major urban areas: Maputo and Nampula/Nacala</t>
  </si>
  <si>
    <t>Maputo (353, 21 females) and Nampula (139, 4 females)</t>
  </si>
  <si>
    <t>Synthesized four independent methods to estimate the number of PWID: unique object multiplier, wisdom of the crowd, successive sampling (Handcock et al. method) and literature review. A consensus meeting among stakeholders agreed that the median of all four methods was the best estimate of population size of PWID in each city and also agreed to the lowest and highest estimates as acceptable bounds. No extrapolation to calculate a national estimate. Simply summed by UNODC. Formative research conducted prior to the survey established that these two areas contained the large majority of PWID.</t>
  </si>
  <si>
    <t>18 and older. Males and females. Injecting in lifetime. Sample size: Maputo (353, 21 females) and Nampula (139, 4 females). The prevalence of hepatitis B among PWID was 32.1% (25.2–38.5%) in Maputo and 36.4% (22.6–49.8%) in Nampula/Nacala. UNODC used the avarage.</t>
  </si>
  <si>
    <t>ARQ / survey report</t>
  </si>
  <si>
    <t>ARQ/ survey article / MS comments WDR2017 / EMCDDA</t>
  </si>
  <si>
    <t xml:space="preserve">ARQ / EMCDDA   </t>
  </si>
  <si>
    <t>Diagnostic testing from Drug Treatment Centres. 26 tested</t>
  </si>
  <si>
    <t>EMCDDA, Netherlands Country Drug Report 2018</t>
  </si>
  <si>
    <t>The National Institute of Public Health collects notifications on drug-related infectious diseases and test results from a convenience sample of treatment clients in Centres for the Prevention and Treatment of Illicit Drug Addiction (CPTDAs). 216 tested.</t>
  </si>
  <si>
    <t>A;  Seroprevalence study (convenience sample)</t>
  </si>
  <si>
    <t>The National Institute of Public Health collects notifications on drug-related infectious diseases and test results from a convenience sample of treatment clients in Centres for the Prevention and Treatment of Illicit Drug Addiction (CPTDAs). 81 tested.</t>
  </si>
  <si>
    <t>Seroprevalence study (convenience sample)</t>
  </si>
  <si>
    <t xml:space="preserve">The National Institute of Public Health collects notifications on drug-related infectious diseases and test results from a convenience sample of treatment clients in Centres for the Prevention and Treatment of Illicit Drug Addiction (CPTDAs). </t>
  </si>
  <si>
    <t>ARQ; Cyprus National Addictions Authority / Cyprus Monitoring Centre for Drugs and Drug Addiction (CMCDDA)</t>
  </si>
  <si>
    <t xml:space="preserve">A;  Indirect Estimate (Treatment multiplier) </t>
  </si>
  <si>
    <t>Origer, A. (2017), Estimation de la prévalence nationale de l'usage problématique de drogues à risque élevé et d'acquisition illicite - Etude sérielle multi-méthodes 1997 - 1999 – 2000 – 2003 - 2007, 2009 and 2015 - Séries de recherche n°7, Point focal OEDT Luxembourg - Luxembourg Institute of Health.</t>
  </si>
  <si>
    <t>A;  Indirect Estimate (combined methods)</t>
  </si>
  <si>
    <t>EMCDDA, Portugal Country Drug Report 2018</t>
  </si>
  <si>
    <t>A;  Indirect Estimate (capture–recapture, treatment data)</t>
  </si>
  <si>
    <t>Supplement to: Degenhardt L, Peacock A, Colledge S, et al. Global prevalence of injecting drug use and sociodemographic characteristics and prevalence of HIV, HBV, and HCV in people who inject drugs: a multistage systematic review. Lancet Glob Health 2017; 5: e1192–207.</t>
  </si>
  <si>
    <t>2013-2016</t>
  </si>
  <si>
    <t>Prevalence determined by Degenhardt and others based on 8 estimates. Original sources as follows:
Armenta RF, Collins KM, Strathdee SA, et al. Mycobacterium tuberculosis infection among persons who inject drugs in San Diego, California. International Journal of Tuberculosis and Lung Disease 2017;
21(4): 425-31.
Blackburn NA, Patel RC, Zibbell JE. Improving screening methods for hepatitis C among people who inject drugs: Findings from the HepTLC initiative, 2012-2014. Public Health Reports 2016; 131: 91-7.
Carey KJ, Huang W, Linas BP, Tsui JI. Hepatitis C virus testing and treatment among persons receiving buprenorphine in an office-based program for opioid use disorders. Journal of Substance Abuse
Treatment 2016; 66: 54-9.
Geboy AG, Mahajan S, Daly AP, et al. High hepatitis C infection rate among baby boomers in an urban primary care clinic: Results from the HepTLC initiative. Public Health Reports 2016; 131: 49-56.
Dimova RB, Martinez AD, Weinberg E, Drobnik A, Talal AH. Age and risk factor-based serologic screening for hepatitis C virus among an urban high-risk population. Hepatology 2015; 62: 1098A.
Jordan AE, Des Jarlais DC, Arasteh K, McKnight C, Nash D, Perlman DC. Incidence and prevalence of hepatitis c virus infection among persons who inject drugs in New York City: 2006-2013. Drug &amp; Alcohol Dependence 2015; 152: 194-200.</t>
  </si>
  <si>
    <t>Grau LE, Zhan W, Heimer R. Prevention knowledge, risk behaviours and seroprevalence among nonurban injectors of southwest Connecticut. Drug and Alcohol Review 2016; 35(5): 628-36.</t>
  </si>
  <si>
    <t xml:space="preserve">HBsAg  </t>
  </si>
  <si>
    <t>Marion Weigl and others. 2017 Report on the Drug Situation. Vienna, October 2017. On behalf of the European Monitoring Centre for Drugs and Drug Addiction, Lisbon and the Austrian Federal Ministry of Health and Women’s Affairs.</t>
  </si>
  <si>
    <t xml:space="preserve">Government Report. </t>
  </si>
  <si>
    <t>Ten cities: Sucre, La Paz, Cochabamba, Oruro, Potosí, Tarija, Santa Cruz, Trinidad, Cobija, El Alto</t>
  </si>
  <si>
    <t>EMCDDA, Greece Country Drug Report 2018. REITOX Focal Point of the EMCDDA.</t>
  </si>
  <si>
    <t>Bsed on data from Vogur Hospital (treatment center).</t>
  </si>
  <si>
    <t>multiple years (different studies)</t>
  </si>
  <si>
    <t>ARQ: National Drug Intelligence Bureau</t>
  </si>
  <si>
    <t xml:space="preserve">C;  Treatment and other national registers of drug users </t>
  </si>
  <si>
    <t>Eastern Province</t>
  </si>
  <si>
    <t>Amal Complex for Mental Health in Dammam</t>
  </si>
  <si>
    <t>Ķīvīte A., Vanaga D., Šibalova A., Skripste M., Zīle-Veisberga A., Kaupe R. (2017.) Narkotiku lietošanas paradumi un tendences Latvijā. Narkotiku lietotāju kohortas pētījuma 10.posma rezultāti. [Drug use patterns and trends in Latvia. The 10th phase results of cohort study of drug users]. Rīga: Slimību profilakses un kontroles centrs, DIA+LOGS.</t>
  </si>
  <si>
    <t>A;  Indirect Estimate (treatment multiplier)</t>
  </si>
  <si>
    <t xml:space="preserve">Ollgren et al. The prevalence of amphetamine and opioid abuse in Finland in 2012 (Amfetamiinien ja opioidien ongelmakäytön yleisyys Suomessa 2012) Yhteiskuntapolitiikka 79:2014. </t>
  </si>
  <si>
    <t>ARQ / EMCDDA report</t>
  </si>
  <si>
    <t>ARQ: Institute of Public Health</t>
  </si>
  <si>
    <t>National. Drug-Related Infectious Diseases Register of the Department of Infectious Diseases, Institute of Public Health (unpublished)</t>
  </si>
  <si>
    <t xml:space="preserve">ARQ / Government Report </t>
  </si>
  <si>
    <t>ARQ: Government Report</t>
  </si>
  <si>
    <t>ARQ: National Focal Point on Drugs and Drug Addictions and National Drug Council</t>
  </si>
  <si>
    <t>ARQ: National Monitoring Centre for Drugs and Drug Addiction, Secretariate of the Government Council for Drug Policy Coordination, Office of the Government of the Czech Republic</t>
  </si>
  <si>
    <t>ARQ: Greek REITOX Focal Point of the EMCDDA.</t>
  </si>
  <si>
    <t>Unpublished data from Vogur Hospital (treatment center)</t>
  </si>
  <si>
    <t xml:space="preserve">Unpublished data from the TrapHepC project. </t>
  </si>
  <si>
    <t>ARQ; General Directorate for Interventions on Addictive Behaviours and Dependencies (SICAD) - Ministry of Health</t>
  </si>
  <si>
    <t>Sudy report</t>
  </si>
  <si>
    <t>ARQ/EMCDDA</t>
  </si>
  <si>
    <t>ARQ: National Institute of Public Health</t>
  </si>
  <si>
    <t>National Institute of Public Health</t>
  </si>
  <si>
    <t>ARQ: Department for Anti-drug Policies - Presidency of the Council of Ministers</t>
  </si>
  <si>
    <t>Department for Anti-drug Policies - Presidency of the Council of Ministers</t>
  </si>
  <si>
    <t>PWID tested = 35.</t>
  </si>
  <si>
    <t>Lifetime injecting. Sample size 35.</t>
  </si>
  <si>
    <t xml:space="preserve">Ministry of Foreign Affairs </t>
  </si>
  <si>
    <t>EMCDDA: Institute of Public Health</t>
  </si>
  <si>
    <t>Population Size Estimation of People who Inject Drugs in Georgia 2016. Bemoni Public Union and Curatio International Foundation (2017)</t>
  </si>
  <si>
    <t>A; Indirect Estimate (Multiple methods:  Network Scale-Up, modified capture-recapture and multiplier-benchmark methods)</t>
  </si>
  <si>
    <t xml:space="preserve">Structures à Bas Seuil (SBS) survey (low-threshold centers). See also: http://www.suchtmonitoring.ch/de/page/6-5.html </t>
  </si>
  <si>
    <t xml:space="preserve">UNAIDS: Swiss Monitoring of Addictions </t>
  </si>
  <si>
    <t xml:space="preserve">A; Seroprevalence study (Respondent-driven sampling) </t>
  </si>
  <si>
    <t>Capital city of Phnom  Penh and 11  provinces with 21 locations</t>
  </si>
  <si>
    <t xml:space="preserve">Both </t>
  </si>
  <si>
    <t>A;  Indirect Estimate (capture-recapture)</t>
  </si>
  <si>
    <t>National. Extrapolation from the estimate of 12 provinces to the national estimate (RDS conducted in Capital city of Phnom  Penh and 11  provinces with 21 locations)</t>
  </si>
  <si>
    <t>National Population Size Estimation, Integrated Biological and Behavioral Survey, and HCV among PWID and PWUD in Cambodia, 2017</t>
  </si>
  <si>
    <t>UNAIDS. Sentinel surveillance 2017</t>
  </si>
  <si>
    <t>HBsAg.  Podgorica. Sample size 402. Eligible participants were individuals older than 18 years who injected drugs for non-medical purposes in the month preceding the survey.</t>
  </si>
  <si>
    <t>2016/17</t>
  </si>
  <si>
    <t>Chisinau, Balti and Tiraspol</t>
  </si>
  <si>
    <t>Prevalence of HIV among PWID: 13.9% In Chisinau, 17.0% in Balti and 29.1% in Tiraspol.</t>
  </si>
  <si>
    <t>UNAIDS: Country progress report - Republic of Moldova Global AIDS Monitoring 2018.</t>
  </si>
  <si>
    <t>Integrated Biological and Behavioral Surveillance (IBBS) Survey among Key Populations at Higher Risk of HIV in Sri Lanka, 2017/18 – Report, Colombo, National STD/AIDS Control Programme.</t>
  </si>
  <si>
    <t>0ver 18</t>
  </si>
  <si>
    <t>305 (14 females)</t>
  </si>
  <si>
    <t>Over 18</t>
  </si>
  <si>
    <t>HBsAg.</t>
  </si>
  <si>
    <t>GARPR / KS</t>
  </si>
  <si>
    <t>UNAIDS: AIDSInfo</t>
  </si>
  <si>
    <t>1405 tested</t>
  </si>
  <si>
    <t>Enquête séro-comportementale de deuxième génération chez les usagers de drogues – Togo 2017</t>
  </si>
  <si>
    <t>Eight cities (Lomé,  Aného, Tsévié, Atakpamé, Kpalimé, Sokodé, Kara, Dapaong)</t>
  </si>
  <si>
    <t>Persons applying for narcological medical help in the state narcological service.</t>
  </si>
  <si>
    <t>ARQ:  Federal statistical observation on narcology</t>
  </si>
  <si>
    <t>ARQ / UNAIDS (KS)</t>
  </si>
  <si>
    <t>Macao Drug Complex Treatment Cente</t>
  </si>
  <si>
    <t>ARQ: Social Welfare Bureau</t>
  </si>
  <si>
    <t xml:space="preserve">ARQ: Macao Drug Treatment Complex Center (2017 Annual Report) </t>
  </si>
  <si>
    <t>53 tested</t>
  </si>
  <si>
    <t xml:space="preserve">Macao Drug Treatment Complex Center (2017 Annual Report) </t>
  </si>
  <si>
    <t xml:space="preserve">National (eleven townships and two cities ) </t>
  </si>
  <si>
    <t>6,061 (98.5% males)</t>
  </si>
  <si>
    <t>Injected in past month. 15 years and older. National (eleven townships and two cities).  Sample size: 6,061 (98.5% males).</t>
  </si>
  <si>
    <t>ARQ;  Authority for Prevention of Violence, Drugs and Alcohol Abuse</t>
  </si>
  <si>
    <t>ARQ: National Substance Abuse Treatment Registry</t>
  </si>
  <si>
    <t xml:space="preserve"> Subgroup of patients in OMT centers spread all over the country</t>
  </si>
  <si>
    <t>National Substance Abuse Treatment Registry</t>
  </si>
  <si>
    <t>Subnational (6 districts)</t>
  </si>
  <si>
    <t>target 200 per location</t>
  </si>
  <si>
    <t>Integrated behavioral and biological survey, 2015 (Ministry of Health, National AIDS Commision). See also: HIV epidemiology review Indonesia 2016. Directorate General of Disease Prevention and Control. Ministry of Health. Republic Indonesia. 2017.</t>
  </si>
  <si>
    <t>ARQ / UNAIDS estimate</t>
  </si>
  <si>
    <t>ARQ: Ministry of Health / General Directorate of Health Services</t>
  </si>
  <si>
    <t>ARQ / UNAIDS</t>
  </si>
  <si>
    <t>ARQ / GARPR</t>
  </si>
  <si>
    <t>Official government estimate with no methodology reported</t>
  </si>
  <si>
    <t xml:space="preserve"> Prevalence of 6.7% in Bogotá, 44.4% in Pereira, 30.9% in Armenia and 21.4% in Cucuta.</t>
  </si>
  <si>
    <t>David Toro-Tobón and others. Prevalence of hepatitis C virus in young people who inject drugs in four Colombian cities: A cross-sectional study using Respondent Driven Sampling. International Journal of Drug Policy 60 (2018) 56–64</t>
  </si>
  <si>
    <t>Four cities: Armenia, Bogotá, Cúcuta, and Pereira</t>
  </si>
  <si>
    <t>18-59</t>
  </si>
  <si>
    <t>918; 127 females; (265 in Armenia; 193 in Bogotá; 210 in Cúcuta, and 250 in Pereira)</t>
  </si>
  <si>
    <t>2,022 (39 females)</t>
  </si>
  <si>
    <t>Natia Shengelia, Ivdity Chikovani, Lela Sulaberidze. Human immunodeficiency virus prevalence and risk determinants among people who inject drugs in the Republic of Georgia. The Journal of Infection in Developing Countries. 2017; 11(10):772-780.</t>
  </si>
  <si>
    <t>10 cities: Belo Horizonte, Brasılia, Campo Grande, Curitiba, Itajaı´, Manaus, Santos, Salvador, Recife, and Rio de Janeiro</t>
  </si>
  <si>
    <t>Cremildo Joao Baptista and others. HIV Prevalence, Knowledge, Attitudes, and Practices Among Polydrug Users in Brazil: A Biological Survey Using Respondent Driven Sampling. AIDS Behav (2018) 22:2089–2103.</t>
  </si>
  <si>
    <t>A; Indirect estimate (Respondent Driven Sampling)</t>
  </si>
  <si>
    <t>ARQ: General Secretariat of the Interministerial Committee for Combating Drugs and Drug Addiction</t>
  </si>
  <si>
    <t>A;  Indirect Estimate (HIV multiplier and multivariate indicator method)</t>
  </si>
  <si>
    <t>Epidemiological research to estimate the number of high risk drug users in Lithuania. Republican Centre for Addictive Disorders, 2018.</t>
  </si>
  <si>
    <t>Etude de surveillance biologique et comportementale du VIH, de la syphilis, de l'hepatite B et hepatite C chez les consommateur de drogue injectables a Madagascar.  June 2017.</t>
  </si>
  <si>
    <t>study report / KS file</t>
  </si>
  <si>
    <t>650 (Antananarivo (n = 31), Antsiranana (n = 138), Mahajanga (n = 135), Toamasina (n = 216), and Nosy Be (n = 130))</t>
  </si>
  <si>
    <t>Five cities: Antananarivo, Antsiranana, Mahajanga, Toamasina  and Nosy Be</t>
  </si>
  <si>
    <t xml:space="preserve">study report </t>
  </si>
  <si>
    <t xml:space="preserve">ARQ; IAFA (Institute on Alcoholism and Substance Dependence). </t>
  </si>
  <si>
    <t>1) East Jerusalem Governorate (includes all localities and areas specified in 1996 for the purpose of national Palestinian elections. The EJG consists of two parts: (a) East Jerusalem within the wall (the part that
Israel annexed in 1967) and (b) the parts of the city left outside the wall, as well as the rest of the governorate.) 2) Ramallah, Hebron, and Bethlehem governorates.</t>
  </si>
  <si>
    <t>A;  Seroprevalence study (1) Respondent Driven Sampling; 2) Time location sampling)</t>
  </si>
  <si>
    <t>1) Aleksandar Štulhofer, Agnes Chetty, Randa Abu Rabie, Isam Jwehan, and Asad Ramlawi. The Prevalence of HIV, HBV, HCV, and HIV-Related Risk-Taking Behaviors among Palestinian Injecting Drug Users in the East Jerusalem Governorate. Journal of Urban Health: Bulletin of the New York Academy of Medicine, Vol. 89, No. 4. 2012. 2) Bio-Behavioral HIV Survey among Injecting Drug Users in the West Bank, 2013 - Technical Report - February 2014</t>
  </si>
  <si>
    <t>1) Study report   "the issue of representativeness needs to be considered against a relative sociodemographic homogeneity of the sample. Clearly, our sample cannot represent female IDUs or male IDUs younger than 30."</t>
  </si>
  <si>
    <t>Published articles</t>
  </si>
  <si>
    <t>1) 2010 2) 2013</t>
  </si>
  <si>
    <t>1) 199 (3 females) 2) 288 PWID: 105 in Ramallah, 100 in Hebron, and 83 in Bethlehem. Only one of the surveyed IDUs was female.</t>
  </si>
  <si>
    <t>1) 18-56 2) 18-60</t>
  </si>
  <si>
    <t>1) '18 - 56 2) 18-60</t>
  </si>
  <si>
    <t>1) Study report   "the issue of representativeness needs to be considered against a relative sociodemographic homogeneity of the sample. Clearly, our sample cannot represent female IDUs or male IDUs younger than 30." Range in the prevalence given are the estimates from the two studies.</t>
  </si>
  <si>
    <t>Morbidity and Mortality Weekly Report. HIV Infection and HIV-Associated Behaviors Among Persons Who Inject Drugs — 20 Cities, United States, 2015. US Department of Health and Human Services/Centers for Disease Control and Prevention MMWR / January 12, 2018 / Vol. 67 / No. 1</t>
  </si>
  <si>
    <t>20 metropolitan statistical areas: Atlanta, Georgia; Baltimore, Maryland; Boston, Massachusetts; Chicago, Illinois; Dallas, Texas; Denver, Colorado; Detroit, Michigan; Houston, Texas; Los Angeles, California; Miami, Florida; Nassau-Suffolk, New York; New Orleans, Louisiana; New York, New York; Newark, New Jersey; Philadelphia, Pennsylvania; San Diego, California; San Francisco, California; San Juan, Puerto Rico; Seattle, Washington; District of Columbia.</t>
  </si>
  <si>
    <t>10,348 (31% females)</t>
  </si>
  <si>
    <t>Ann E. Kurth and others. HIV Prevalence, Estimated Incidence, and Risk Behaviors Among People Who Inject Drugs in Kenya. J Acquir Immune Defic Syndr   Volume 70, Number 4, December 1, 2015</t>
  </si>
  <si>
    <t>Prevalence: 14.5% in Nairobi (95% CI: 10.8 to 18.2) and 20.5% in the Coast region (95% CI: 17.3 to 23.6).</t>
  </si>
  <si>
    <t>1,785 (663 PWID enrolled in Nairobi and 1122 enrolled in the Coast region)</t>
  </si>
  <si>
    <t>10 sites (4 were in Nairobi and 6 in Coastal Mombasa)</t>
  </si>
  <si>
    <t>2007-2013</t>
  </si>
  <si>
    <t>2001-2012</t>
  </si>
  <si>
    <t xml:space="preserve">A; Seroprevalence study </t>
  </si>
  <si>
    <t>Based on the following studies: 
1) Akhtar AM, Jamil M, Rehman A, Majeed S. Hepatitis-C virus infection among injecting drug users in Lahore, Pakistan: A cross sectional study. Pakistan Journal of Medical Sciences 2016; 32(2): 373-8.
2) Maan MA, Hussain F, Jamil M. Epidemiology of hepatitis C viral infection in Faisalabad, Pakistan: a retrospective study (2010-2012). African Health Sciences 2014; 14(4): 810-5.
3) ur Rehman L, Ullah I, Ali I, et al. Active hepatitis C infection and HCV genotypes prevalent among the IDUs of Khyber Pakhtunkhwa. Virology Journal 2011; 8: 327.
4) Platt L, Vickerman P, Collumbien M, et al. Prevalence of HIV, HCV and sexually transmitted infections among injecting drug users in Rawalpindi and Abbottabad, Pakistan: evidence for an emerging
injection-related HIV epidemic. Sexually Transmitted Infections 2009; 85 Suppl 2: ii17-22.</t>
  </si>
  <si>
    <t xml:space="preserve"> национальные ведомственные годовые отчеты за 2015 год (форма 37-здрав и форма -11 "Отчет о наркологических расстройствах")  </t>
  </si>
  <si>
    <t xml:space="preserve">Tests on PWID attending outpatient service - SMOPU (Substance Misuse Out-Patient Unit). </t>
  </si>
  <si>
    <t>3 cities (Cape Town, Durban, Pretoria)</t>
  </si>
  <si>
    <t>941 (13% females)</t>
  </si>
  <si>
    <t>Seroprevalence study (Opportunistic sampling)</t>
  </si>
  <si>
    <t>HbsAg. Opportunistic sampling from clients accessing needle and syringe services. 3 cities (Cape Town, Durban, Pretoria). Sample size: 941 (13% females)</t>
  </si>
  <si>
    <t>MS comments WDR2019</t>
  </si>
  <si>
    <t>Source Myanmar Integrated Biological and Behavioural Surveillance Survey and Population Size Estimates among People Who Inject Drugs. Final Report. National AIDS Program, 2017-2018. See also Lisa G. Johnston and others, Estimating the Population Size of Males Who Inject Drugs in Myanmar: Methods for Obtaining Township and National Estimates, AIDS and Behaviour, July 2018.</t>
  </si>
  <si>
    <t xml:space="preserve">Myanmar - country snapshot. UNAIDS. See also: Myanmar Integrated Biological and Behavioural Surveillance Survey and Population Size Estimates among People Who Inject Drugs. Final Report. National AIDS Program, 2017-2018 </t>
  </si>
  <si>
    <t>Myanmar Integrated Biological and Behavioural Surveillance Survey and Population Size Estimates among People Who Inject Drugs. Final Report. National AIDS Program, 2017-2018</t>
  </si>
  <si>
    <t>B;  Registration or notification of cases of HIV infection (e.g. from treatment services) - admitted to treatment for drug use</t>
  </si>
  <si>
    <t xml:space="preserve">City of Montevideo and its metropolitan area (Ciudad de la Costa, Las Piedras, La Paz, Progreso and Ciudad del Plata). </t>
  </si>
  <si>
    <t>Norwegian Institute of Public Health. Cause of death register and data on risk of death.</t>
  </si>
  <si>
    <t>See Figure 1 in https://www.fhi.no/nettpub/narkotikainorge/bruk-av-narkotika/problembruk-av-narkotika/</t>
  </si>
  <si>
    <t>ARQ / MS comments WDR2019</t>
  </si>
  <si>
    <t>National Antidrug Agency. Raportul national privind situatia drogurilor in Romania 2018. (http://www.ana.gov.ro/rapoarte%20nationale/RN_2018.pdf)</t>
  </si>
  <si>
    <t>Previous estimate deleted. See comments WDR2019</t>
  </si>
  <si>
    <t>All ages</t>
  </si>
  <si>
    <t>A;  Indirect Estimate (Treatment multipler)</t>
  </si>
  <si>
    <t>OEDA. Indicador de Consumo Problemático y datos de población del Instituto Nacional de Estadística (INE).</t>
  </si>
  <si>
    <t>Estimation using several sources of information, one of which is the number/percentage of people injecting any drug among those admitted to treatment (Treatment Demand Indicator). Multiplier from the EDADES 2017 survey.</t>
  </si>
  <si>
    <t xml:space="preserve">Integrated Biologic and Behavioral Surveillance, Department of Disease Control, Ministry of Public Gealth of Thailand. </t>
  </si>
  <si>
    <t>GARPR/ MS comments WDR2019</t>
  </si>
  <si>
    <t>published report</t>
  </si>
  <si>
    <t>A;  Indirect Estimate (respondent-driven sampling and multiplier)</t>
  </si>
  <si>
    <t>Ambekar A, Agrawal A, Rao R, Mishra AK, Khandelwal SK, Chadda RK on behalf of the group of investigators for the National Survey on Extent and Pattern of Substance Use in India (2019). Magnitude of Substance Use in India. New Delhi: Ministry of Social Justice and Empowerment, Government of India</t>
  </si>
  <si>
    <t>135 districts across the country spread across 34 states. Overall, a total of 72,642 people with drug dependence were interviewed.</t>
  </si>
  <si>
    <t>The proportion of the respondents reporting that they were admitted to a specific addiction treatment centre was used as a multiplier</t>
  </si>
  <si>
    <t xml:space="preserve">Based on the proportion of high-risk drug users who reported injecting any drug in the past 12 months, and adjusted to the national estimate of high-risk drug users.   High-risk drug users were defined in this study as those (a) who used drugs (opioids, cocaine and amphetamines) in the past 12 months and (b) used those in the past 30 days as well as (c) used them at least 5 times in the past 30 days. Data collected from this survey on treatment history and arrests, in addition to drug use patterns, were required for multiplier benchmark methods to estimate  size of the high-risk drug user population. </t>
  </si>
  <si>
    <t>A;  Indirect Estimate (Respondent-driven sampling and multipler methods)</t>
  </si>
  <si>
    <t>Drug Use in Nigeria 2018, Federal  Ministry  of  Health, Nigeria Bureau of Statistics, Centre for Research and Information on Substance Abuse and UNODC.</t>
  </si>
  <si>
    <t xml:space="preserve"> Population        (1,000's)         15-64      2018</t>
  </si>
  <si>
    <t>Classification of methodology for people who inject drugs (PWID) and those among them living with HIV and HCV</t>
  </si>
  <si>
    <t>MS comments WDR2019 / survey report</t>
  </si>
  <si>
    <t>KS file / MS comments WDR2019 / survey report</t>
  </si>
  <si>
    <t>18 yearsor if younger being legally recognized as being capable of assuming adult responsibilities</t>
  </si>
  <si>
    <t>Bujumbura</t>
  </si>
  <si>
    <t>127 PWID (7% females)</t>
  </si>
  <si>
    <t>A2: Seroprevalence study</t>
  </si>
  <si>
    <t>18 years and older</t>
  </si>
  <si>
    <t>Kampala and Mbale</t>
  </si>
  <si>
    <t>125 PWID (18% females)</t>
  </si>
  <si>
    <t>prevalence higher among women</t>
  </si>
  <si>
    <t>Data collated from Ugandan Harm Reduction Network client records. Total number of cases for HIV testing is 511, 546 for HCV, and 445 for HBsAg.</t>
  </si>
  <si>
    <t>prevalence higher among women, Data collated from Ugandan Harm Reduction Network client records. Total number of cases for HIV testing is 511, 546 for HCV, and 445 for HBsAg.</t>
  </si>
  <si>
    <t>HBsAg, Data collated from Ugandan Harm Reduction Network client records. Total number of cases for HIV testing is 511, 546 for HCV, and 445 for HBsAg.</t>
  </si>
  <si>
    <t>ARQ/Government reports</t>
  </si>
  <si>
    <t>A;  Indirect Estimate (capture-recapture) including different modelling strategies to over-coverage-induced bias in cap-recap estimates (log-linear regression maximum likelihood and Bayesian methods) based on  different data sources (Estonian Causes of Death registry, Estonian Health Insurance Fund, Estonian Police and Border Guard Bord)</t>
  </si>
  <si>
    <t>Opportunistic sampling in PWID accessing harm reduction services</t>
  </si>
  <si>
    <t>Scheibe A, Young K, Moses L, Basson RL, Versfeld A, Spearman CW, Sonderup MW, Prabdial-Sing N, Manamela J, Puren AJ, Rebe K, Hausler H. Understanding hepatitis B, hepatitis C and HIV among people who inject drugs in South Africa: findings from a three-city cross-sectional survey. Harm Reduct J. 2019 Apr 11;16(1):28. doi: 10.1186/s12954-019-0298-2.</t>
  </si>
  <si>
    <t>A;  Seroprevalence study (Opportunistic sampling)</t>
  </si>
  <si>
    <t>Opportunistic sampling in PWID accessing harm reduction services; HCV RNA, mainly genotype 1a</t>
  </si>
  <si>
    <t>17 and older</t>
  </si>
  <si>
    <t>521 consecutive PWID admitted to Al-Sabah Hospital</t>
  </si>
  <si>
    <t>Altawalah H, Essa S, Ezzikouri S, Al-Nakib W. Hepatitis B virus, hepatitis C virus and human immunodeficiency virus infections among people who inject drugs in Kuwait: A cross-sectional study. Sci Rep. 2019 Apr 18;9(1):6292. doi: 10.1038/s41598-019-42810-w.</t>
  </si>
  <si>
    <t>Cross-sectional survey among PWID consecutively admitted to hospital</t>
  </si>
  <si>
    <t>Cross-sectional survey among PWID consecutively admitted to hospital; HCV-RNA evident in 51.72% (95%CI: 38.34-64.87%)</t>
  </si>
  <si>
    <t>National report</t>
  </si>
  <si>
    <t>Integrated biological-behavioural surveillance survey among people who inject drugs, female sex workers and men who have sex with men in Yerevan, Gyumri and Vanadzor, Armenia 2018. National Centre for AIDS Prevention, Ministry of Health</t>
  </si>
  <si>
    <t>8900 male PWID (0.7% of the adult male population) and 105 female PWID (0.01%)</t>
  </si>
  <si>
    <t>3 cities (Yerevan, Gyumri, Vanadzor)</t>
  </si>
  <si>
    <t>Yerevan, 300; Gyumri, 150; Vanadzor, 150</t>
  </si>
  <si>
    <t>Prevalence presented as a range based on Yerevan, 2.2% (95% CI: 0.2, 4.1); Gyumri, 0.5% (95% CI: 0.0, 1.0) and Vanadzor, 0.4% (95% CI: 0.1, 0.8) - entered as low-high, AND aggregated data weighted by population size (for GARPR reporting): 1.9%</t>
  </si>
  <si>
    <t>Prevalence presented as a range based on Yerevan, 66.7% (95% CI: 60.1, 73.3); Gyumri, 7.9% (95% CI:5.1, 10.6) and Vanadzor, 80.3% (95% CI:75.0, 85.6) - entered as low-high, AND aggregated data weighted by population size (for GARPR reporting): 66.1%</t>
  </si>
  <si>
    <t>A;  Indirect Estimate (multiplier method)</t>
  </si>
  <si>
    <t>SIZE ESTIMATION OF KEY POPULATIONS MALAYSIA 2018 Ministry of Health Malaysia</t>
  </si>
  <si>
    <t>3 survey sites were used for the survey for the whole Island of Mauritius, namely; Port Louis (in the northwest), Beau Bassin (in the centre) and Mahebourg (in the south).</t>
  </si>
  <si>
    <t>Integrated Biological and Behavioral Surveillance [IBBS]. A Respondent Driven Survey (RDS) among People Who Inject Drugs [PWIDs] in the Island of Mauritius 2017. Republic of Mauritius. Ministry of Health and Quality of Life</t>
  </si>
  <si>
    <t>A; Indirect estimate</t>
  </si>
  <si>
    <t>500 (83.7% males)</t>
  </si>
  <si>
    <t xml:space="preserve">HBsAg, Both sexes. 500 PWID recruited. </t>
  </si>
  <si>
    <t xml:space="preserve">PWID who were current heroin users (time limit used: 6 months) </t>
  </si>
  <si>
    <t>Seroprevalence study (RDS)</t>
  </si>
  <si>
    <t xml:space="preserve">HbsAg. Respondent Driven Sampling. Sample size 397. Aged 15 and over injecting within the last 6 months </t>
  </si>
  <si>
    <t>PWID recruited through respondent driven sampling; low and high number variation between the 2 models (Unique Object Multiplier  and Service Multiplier Method )</t>
  </si>
  <si>
    <t>52 Australian Needle and Syringe Programs (NSPs)</t>
  </si>
  <si>
    <t>2,600 (response rate 41%); median age increased since 2013</t>
  </si>
  <si>
    <t>ARQ/Government report</t>
  </si>
  <si>
    <t>Vorarlberg, Vienna, Graz, National (for death registry)</t>
  </si>
  <si>
    <t>Horvath, Ilonka; Anzenberger, Judith; Busch, Martin; Grabenhofer-Eggerth, Alexander; Schmutterer, Irene; Strizek, Julian; Tanios, Aida; Weigl, Marion (2018): Bericht zur Drogensituation 2018. Gesundheit Österreich, Wien.</t>
  </si>
  <si>
    <t>HBsAg. 390 tested, 82 positive, ranging from 8% in Vorarlberg to 24% in Vienna</t>
  </si>
  <si>
    <t>Treatment and other register of drug users and indirect estimate</t>
  </si>
  <si>
    <t>The estimate covers intravenous drug users in the capital  city of Sofia, estimated number of drug users with HBV: 540, estimated sample size of population: 9000</t>
  </si>
  <si>
    <t>The estimate covers intravenous drug users in the capital  city of Sofia, estimated number of drug users with HCV: 6900, estimated sample size of population: 9000</t>
  </si>
  <si>
    <t>Data from the Croatian Registry of Treated Psychoactive Drug Abusers</t>
  </si>
  <si>
    <t>Government controlled areas, drug users (reporting intravenous drug use at least once in their lifetime) recorded</t>
  </si>
  <si>
    <t>288 tested, Government controlled areas, drug users (reporting intravenous drug use at least once in their lifetime) recorded</t>
  </si>
  <si>
    <t>Narva</t>
  </si>
  <si>
    <t>Salekešin M, Vorobjov, S. HIV levimuse ja riskikäitumise uuring Narva narkootikume süstivate inimeste seas 2018. Tallinn: Tervise Arengu Instituut; 2019</t>
  </si>
  <si>
    <t xml:space="preserve">350 </t>
  </si>
  <si>
    <t>HBsAg. Narva. Aged 18 years and older.  The study involved a total of 350 subjects.</t>
  </si>
  <si>
    <t>Brouard C, Pillonel J, Sogni P, Chollet A, Lazarus JV, Pascal X, Barin F, Jauffret-Roustide M; ANRS Coquelicot Survey Group. Hepatitis B virus in drug users in France: prevalence and vaccination history, ANRS-Coquelicot Survey 2011-2013. Epidemiol Infect. 2017 Jan 19:1-11. doi: 10.1017/S0950268816003137</t>
  </si>
  <si>
    <t xml:space="preserve">HBsAg; 1575 PWUD tested, recruitment through ANRS-Coquelicot, a French cross-sectional epidemiological survey of PWUD recruited in harm reduction programmes and care centres in ﬁve cities (Lille, Strasbourg, Paris, Bordeaux, Marseille) and two departments (administrative districts) beside Paris (Seine-Saint-Denis and Seine-et-Marne) in 2011–2013.  Inclusion criteria were as follows: aged 518 years, having injected or snorted during lifetime, and able to speakFrench or Russian, HBsAg seroprevalence was 1·4% [95% conﬁdence interval (CI) 0·8–2·5],  Seroprevalence in PWUD from high, moderate and low endemic zones was 7·6% (95% CI 2·7–19·1), 2·2% (95% CI 0·8–5·7) and 0·7% (95% CI 0·3–1·5), respectively </t>
  </si>
  <si>
    <t>In 2017 the 10th wave of the Riga Drug User’s Cohort Study (RDUCS) took place in five geographical areas of Latvia - in Riga, Jurmala, Ogre, Liepaja and Bauska. The sample size of the 10th wave was 542 (of them 17 – for the first time). Rapid testing of infectious diseases was provided for 386 drug users.</t>
  </si>
  <si>
    <t>Nearly all drug users can be classified as drug injectors (amphetamine has been injected by 99,0% of users within the last month and heroin – by 100.0%).</t>
  </si>
  <si>
    <t>542 (32.8% females), Rapid testing of infectious diseases was provided for 386 drug users.</t>
  </si>
  <si>
    <t>10th wave of the Riga Drug User’s Cohort Study (RDUCS)</t>
  </si>
  <si>
    <t>ARQ/ Government report</t>
  </si>
  <si>
    <t>Between 2009 and 2017, Malaysia has conducted four (4) cycles of Integrated Biological Behavioral Surveillance (IBBS) survey aiming at monitoring the behavioral and HIV trend among these key populations (KP). ARQ: Estimated prevalence of HIV infection among injecting drug users are based on integrated bio behavioral survey (IBBS), Ministry of Health Malaysia 2017.</t>
  </si>
  <si>
    <t>Published collected data of all drug users in treatment for the year 2017,</t>
  </si>
  <si>
    <t>SMOPU (Substance Misuse Out-Patient Unit) data were used for the compilation of this information.</t>
  </si>
  <si>
    <t>Van Laar, M.W., Van Ooyen-Houben, M.M.J., Cruts, A.A.N., Meijer, R.F., Croes, E.A., Ketelaars, A.P.M., Van der Pol, P.M. (2018). Nationale Drug Monitor; Jaarbericht 2016 [Netherlands National Drug Monitor; Annual Report 2018]. Utrecht/The Hague, The Netherlands: Trimbos Institute, Netherlands Institute of Mental Health and Addiction/WODC.</t>
  </si>
  <si>
    <t>Chorzowie, Krakowie, Warszawie oraz Wrocławiu.</t>
  </si>
  <si>
    <t>A;  Seroprevalence study (RDS)</t>
  </si>
  <si>
    <t xml:space="preserve">Report of the study  "Stan zdrowia osób przyjmujących środku odurzające we wstrzyknięciach w zakresie chorób zakaźnych przenoszonych poprzez naruszenie ciągłości tkanek oraz kontakty seksualne. Rozpowszechnienie. Wiedza. Zachowania" - Narodowy Instytut Zdrowia Publicznego-Państwowy Zakład Higieny (NIZP-PZH), 2018: https://www.cinn.gov.pl/portal?id=15&amp;res_id=1382469   </t>
  </si>
  <si>
    <t>ARQ/ report</t>
  </si>
  <si>
    <t>HBsAg. Respondent Driven Sampling.  Lifetime injecting drug users. Cities of 'Chorzowie, Krakowie, Warszawie oraz Wrocławiu. Sample size 173.</t>
  </si>
  <si>
    <t>Based on 7914 people in treatment for drug use. SIM Multidisciplinary Information System (unpublished) - 2018 data. Sub group is defined as : "Population in Treatment for Ilicit Drug Use- All cases"; for this subgroup, values  reported constitute the overall figures for the entire country.</t>
  </si>
  <si>
    <t>Based on 7914 people in treatment for drug use. SIM Multidisciplinary Information System (unpublished) - 2018 data. subgroup: Population in Treatment for Ilicit Drug Use- All cases having ever injected</t>
  </si>
  <si>
    <t>ARQ:  Federal statistical observation on narcology (Формы федерального статистического наблюдения по наркологии)</t>
  </si>
  <si>
    <t>National HIV surveilance register; Roma minority, prisoners; data from the Atlas of Roma communities</t>
  </si>
  <si>
    <t>Those admitted to drug use treatment in 2017. 5946 tested.</t>
  </si>
  <si>
    <t xml:space="preserve">ARQ; Spanish Observatory of Drugs and Drug Addiction. Government Delegation for the National Plan on Drugs. Ministry of Health, Social Services and Equality. Indicador de Admisiones a Tratamiento 2017. 
Observatorio Español de las Drogas y las Adicciones. Delegación del Gobierno para el Plan Nacional sobre Drogas. </t>
  </si>
  <si>
    <t xml:space="preserve">Spanish Observatory of Drugs and Drug Addiction. Government Delegation for the National Plan on Drugs. Ministry of Health, Social Services and Equality. Indicador de Admisiones a Tratamiento 2017. 
Observatorio Español de las Drogas y las Adicciones. Delegación del Gobierno para el Plan Nacional sobre Drogas. Los datos de Hepatitis B se refieren a portadores crónicos obtenidos de ESDIP (ver pestaña Q31-33). </t>
  </si>
  <si>
    <t>Estimation from national treatment registry using truncated Poisson model. In absence of a diagnosis indicating route of administration PWID where identified through a combination of diagnoses for mental and behavioural disorders and diagnoses typical for PWID.   4 year average 2008-2011; Report from the National Board of Health and Welfare. Estimation from national treatment data, using trucated poisson model. Work on new estimates for injecting drug users is ongoing and new results are expected next year.</t>
  </si>
  <si>
    <t>Data tables of the Unlinked Anonymous Monitoring Survey of HIV and Hepatitis in People Who Inject Drugs. Surveillance Update: July 2018. (Public Health England). Retrieved from: https://assets.publishing.service.gov.uk/government/uploads/system/uploads/attachment_data/file/729816/UAM_Survey_of_PWID_data_tables_2018.pdf</t>
  </si>
  <si>
    <t xml:space="preserve">Unlinked Anonymous Monitoring Survey of HIV and Viral Hepatitis among PWID. Voluntary unlinked anonymous survey recruits people who inject drugs through specialist agencies (who provide a range of services to those who inject illicit drugs, from medical treatment to needle and syringe programmes and outreach work).  People who inject drugs and are in contact with specialist treatment or harm reduction services. </t>
  </si>
  <si>
    <t>ARQ / Government Report</t>
  </si>
  <si>
    <t xml:space="preserve">HBsAg, Unlinked Anonymous Monitoring Survey of HIV and Viral Hepatitis among PWID. Voluntary unlinked anonymous survey recruits people who inject drugs through specialist agencies (who provide a range of services to those who inject illicit drugs, from medical treatment to needle and syringe programmes and outreach work).  People who inject drugs and are in contact with specialist treatment or harm reduction services. </t>
  </si>
  <si>
    <t xml:space="preserve">Community Drug Clinic Referrals </t>
  </si>
  <si>
    <t>15 a 65 años en poblaciones iguales o mayores a 10,000 hab</t>
  </si>
  <si>
    <t>VII Encuesta Nacional sobre Consumo de Drogas en Hogares 2018- JND-OUD</t>
  </si>
  <si>
    <t>III Estudio Nacional de Prevalencia y Características del Consumo de Drogas en Hogares Bolivianos de nueve Ciudades Capitales de Departamento, más la ciudad de El Alto 2018. Consejo Nacional de Lucha Contra el Tráfico Ilícito de Drogas (CONALTID).</t>
  </si>
  <si>
    <t>UNAIDS EEAC hub/GAM report</t>
  </si>
  <si>
    <t>Method: Service and unique object multiplier and SS-PSE; Source: Sentinel surveillance</t>
  </si>
  <si>
    <t>15+</t>
  </si>
  <si>
    <t>ARQ/ Study report</t>
  </si>
  <si>
    <t>estimated numbers of ML Age 15+ for 2015 used (see Additional file 2 of the Raag-paper); prevalence calculated to our standard population</t>
  </si>
  <si>
    <t>Journal article/ project report</t>
  </si>
  <si>
    <t>HBsAg, sample size 127 PWID</t>
  </si>
  <si>
    <t>Journal article / study report</t>
  </si>
  <si>
    <t>A; Seroprevalence study (data from national OST programme)</t>
  </si>
  <si>
    <t xml:space="preserve">IDUs are all tested at entry into the national OST programme. This year (reporting data from 2017), data forms were returned for 85,8% of the total number of PWID included in the programme. </t>
  </si>
  <si>
    <t>Samples from treatment facilities and low-threshold centres.  Information is also gathered from drug-related death autopsy reports (here only those where actually a test was performed were taken 4/48). Range in the sub-national samples presented. Limitation as not every person in the low-threshold settings gets a blood test, and the authors suspect that motivation is driven by the potential risk of infection, and hence say that the prevalence estimates are not representative</t>
  </si>
  <si>
    <t>Samples from treatment facilities and low-threshold centres.  Information is also gathered from drug-related death autopsy reports (here only those where actually a test was performed were taken 16/47). Range in the sub-national samples presented. Limitation as not every person in the low-threshold settings gets a blood test, and the authors suspect that motivation is driven by the potential risk of infection, and hence say that the prevalense estimates are not representative</t>
  </si>
  <si>
    <t xml:space="preserve">Seroprevalence study </t>
  </si>
  <si>
    <t>Webale MK, Budambula V, Lihana R, Musumba FO, Nyamache AK, Budambula NL, Ahmed AA, Ouma C, Were T. Hepatitis B virus sero-profiles and genotypes in HIV-1 infected and uninfected injection and Non-injection drug users from coastal Kenya. BMC Infect Dis. 2015 Jul 30;15:299. doi: 10.1186/s12879-015-1060-3.</t>
  </si>
  <si>
    <t>HBsAg prevalence in HIV(-): 2.3% and in HIV(+): 9.6%; overall 20/371 = 5.39%</t>
  </si>
  <si>
    <t>EMCDDA, The Czech national monitoring centre for drugs and addictions (2018). Analysis of the final reports of the projects financed by the Government council for drug policy coordination.</t>
  </si>
  <si>
    <t>ARQ / Government Report ?EMCDDA</t>
  </si>
  <si>
    <t>EMCDDA / national report</t>
  </si>
  <si>
    <t>EMCDDA, Netherlands Country Drug Report 2019</t>
  </si>
  <si>
    <t>EMCDDA, Slovakia Country Drug Report 2019</t>
  </si>
  <si>
    <t>52 tested</t>
  </si>
  <si>
    <t>HBsAg. Sub-national estimate. Diagnostic testing from Drug Treatment Centres. 16 tested.</t>
  </si>
  <si>
    <t>HBsAg. Sub-national. 54 tested.</t>
  </si>
  <si>
    <t>Martin M, Vanichseni S, Leelawiwat W, Anekvorapong R, Raengsakulrach B, Cherdtrakulkiat T, Sangkum U, Mock PA, Leethochawalit M, Chiamwongpaet S, McNicholl JM, Kittimunkong S, Curlin ME, Choopanya K, for the Bangkok Tenofovir Study Group. Hepatitis C virus infection among people who inject drugs in Bangkok, Thailand, 2005–2010. WHO South-East Asia J Public Health 2019;8:50-5</t>
  </si>
  <si>
    <t>Bangkok Tenofovir Study (BTS) was a pre-exposure prophylaxis trial conducted among PWID, 2005-2013. Blood specimens were randomly selected from PWID screened for the BTS, to test for anti-HCV antibody and HCV RNA.</t>
  </si>
  <si>
    <t>Bangkok</t>
  </si>
  <si>
    <t>2005-10</t>
  </si>
  <si>
    <t>AIDS Info GAM DB</t>
  </si>
  <si>
    <t>in the reporting form &lt;100 was indicated, so 99 was entered</t>
  </si>
  <si>
    <t>2007-11</t>
  </si>
  <si>
    <t>Jackson JB, Wei L, Liping F, Aramrattana A, Celentano DD, Walshe L, Xing Y, Richardson P, Jun M, Beauchamp G, Donnell D, Ruan Y, Ma L, Metzger D, Shao Y. Prevalence and seroincidence of hepatitis B and hepatitis C infection in high risk people who inject drugs in china and Thailand. Hepat Res Treat. 2014;2014:296958. doi: 10.1155/2014/296958. Epub 2014 Mar 27.</t>
  </si>
  <si>
    <t>HBsAg, open-label randomized clinical trial of buprenorphine-naloxone (BN) treatment of opiate dependence as a strategy for prevention of HIV in opiate dependent injectors in Chiang Mai, Thailand; All PWIDs enrolled were HIV negative adults and had injected opiates at least 12 times in the last 28 days and had a positive urine test for opiates. 201 HIV antibody negative PWIDs (188 men and 13 women) were tested at baseline for HBsAb and HBsAg</t>
  </si>
  <si>
    <t xml:space="preserve">Mburu G, Chhoun P, Chann N, Tuot S, Mun P, Yi S. Prevalence and risk factors of HIV infection among people who inject drugs in Cambodia: findings from a national survey. Subst Abuse Treat Prev Policy. 2019 Oct 17;14(1):42. doi: 10.1186/s13011-019-0232-3. National Population Size Estimation, Integrated Biological and Behavioral Survey, and HCV among PWID and PWUD in Cambodia, 2017; </t>
  </si>
  <si>
    <t>Yi S, Mun P, Chhoun P, Chann N, Tuot S, Mburu G. Prevalence of and risk factors for hepatitis C virus antibody among people who inject drugs in Cambodia: a national biological and behavioral survey. Harm Reduct J. 2019 Apr 29;16(1):29. doi: 10.1186/s12954-019-0299-1. National Population Size Estimation, Integrated Biological and Behavioral Survey, and HCV among PWID and PWUD in Cambodia, 2017</t>
  </si>
  <si>
    <t>Journal article/ study report</t>
  </si>
  <si>
    <t>A; Indirect estimate (Unique object, social event and extrapolation)</t>
  </si>
  <si>
    <t>UNAIDS (Rapport de l'enquête sur la Cartographie programmatique et Estimation de taille des populations clés exposées au risque du VIH/Sida et des IST dans 12 Provinces de la RDC)</t>
  </si>
  <si>
    <t>4 counties (Grand Bassa, Grand Gedeh, Monstserrado and Nimba)</t>
  </si>
  <si>
    <t>A; Indirect estimate (Wisdom of Crowds, unique object multiplier, social events and SS-PSE)</t>
  </si>
  <si>
    <t>Liberia 2017 Size Estimates</t>
  </si>
  <si>
    <t>Report on the bio behavioural study and    population size estimates of people who inject drugs in skopje, republic of macedonia, 2017 http://iph.mk/wp-content/uploads/2019/03/RDS-LID-2018.pdf</t>
  </si>
  <si>
    <t>UNAIDS / Government report</t>
  </si>
  <si>
    <t>B1;  Mapping + extrapolation (multivariable regression models)</t>
  </si>
  <si>
    <t>The main data sources, variables and assumptions come from the IBBS. The regression model collects mapping information from about 20% of the districts (514 in total) to make the extrapolation and add up the estimated numbers to provide a provincial and national numbers. Then those are added up to estimate the national figures.  The PSE has been updated in 2016 using the IBBS from 2015</t>
  </si>
  <si>
    <t>A;  Indirect Estimate - Census and enumeration, capture-recapture and multiplier</t>
  </si>
  <si>
    <t xml:space="preserve">UNAIDS Strategic Information Hub for Eastern Europe and Central Asia; http://eecahub.unaids.org/  </t>
  </si>
  <si>
    <t>A;  Indirect Estimate (Capture-recapture, service multiplier, unique object multiplier, SS-SPE and mapping)</t>
  </si>
  <si>
    <t xml:space="preserve">A;  Indirect Estimate (NSUM, multiplier, capture-recapture and extrapolation). </t>
  </si>
  <si>
    <t>National estimate. Sampling regions (cities): Lomé Commune, Maritime, Plateaux, Centrale Kara et Savanes</t>
  </si>
  <si>
    <t>A;  Indirect Estimate (Multiplier, capture-recapture and SS-PSE)</t>
  </si>
  <si>
    <t>A;  Indirect Estimate (Multiplier and capture-recapture)</t>
  </si>
  <si>
    <t>GAM</t>
  </si>
  <si>
    <t>AIDSinfo: Rapport des Centres de Dépistage (CD) 2018</t>
  </si>
  <si>
    <t>15-49 years</t>
  </si>
  <si>
    <t>The 2017 HSS among IDU was conducted at 87 sites in 84 districts across 26 states and union territories.</t>
  </si>
  <si>
    <t>The highest HIV prevalence among IDUs was recorded in the states of Mizoram (19.8%) followed by Delhi (16.2%) and Punjab (12.1%). Overall, 9 states recorded &gt;5% HIV prevalence among IDU. This included states of Chhattisgarh (10.8%), West Bengal (10.8%), Uttarakhand (9.0%), Tripura (8.6%), Manipur (7.7%) and Madhya Pradesh (5.3%)</t>
  </si>
  <si>
    <t>A;  Seroprevalence study (random sampling)</t>
  </si>
  <si>
    <t>UNAIDS/ Survey report</t>
  </si>
  <si>
    <t>UNAIDS, AIDSInfo / Sentinel surveillance 2018</t>
  </si>
  <si>
    <t>AIDSinfo / Etude Bio-comportementales intégrées auprès des PID</t>
  </si>
  <si>
    <t>AIDSinfo / BSS</t>
  </si>
  <si>
    <t xml:space="preserve">ARQ/UNAIDS </t>
  </si>
  <si>
    <t>Кечина Е.А., доктор социологических наук, профессор; Результаты дозорного эпидемиологического надзора по оценке ситуации по ВИЧ-инфекции среди групп населения с высоким риском инфицирования ВИЧ; Декабрь 2018 года (Kechina EA, Doctor of Sociology, Professor; Results of sentinel surveillance for assessing the HIV situation among populations at high risk of HIV infection; Release date. December 2018)</t>
  </si>
  <si>
    <t>14 cities in Punjab, Sindh, Khyber Pakhtunkhwa &amp; Balochistan provinces</t>
  </si>
  <si>
    <t>AIDSinfo / IBBS 2018</t>
  </si>
  <si>
    <t>Male only</t>
  </si>
  <si>
    <t>31 cities (data collection was done in eight cities and then extrapolated to 31 cities (Urban areas) out of 34 cities in Afghanistan (only three small cities are not covered by the study).)</t>
  </si>
  <si>
    <t>Ministry of Public Health, Mapping and Population Size Estimation for Three Key Populations in Afghanistan - Project Short Report, July 2019.</t>
  </si>
  <si>
    <t>A;  Indirect Estimate ((i) key informant interviews, mapping and enumeration with revers tracking method (RTM), (ii) the unique object and service multipliers, (iii) capture-recapture (CRC), (iv) wisdom of crowds (WOC), and (v) a synthesis of the estimates from above methods using the Anchored Multiplier Bayesian approach); djusted the population size for PWID for the seasonality (winter) effect. Using the final estimates in the studied cities and their correlation with proxy indicators (population density, literacy, etc.), we also estimated the population size for each key population in all other (31) major cities in Afghanistan</t>
  </si>
  <si>
    <t>A;  Indirect Estimate (multiplier method out of data from 2 sources (treatment registry and RDS )</t>
  </si>
  <si>
    <t>National. All regions of the country</t>
  </si>
  <si>
    <t>A;  Indirect Estimate (Multiplier; RDS)</t>
  </si>
  <si>
    <t>Both (80.7% male)</t>
  </si>
  <si>
    <t>same method has already been used in 2009 and 2014 in Skopje; study performed in Skopje, and extrapolated to estimate national population size estimate</t>
  </si>
  <si>
    <t>2017-18</t>
  </si>
  <si>
    <t>Tijuana, Ciudad Juárez and San Luis Rio Colorado</t>
  </si>
  <si>
    <t>National Institute of Psychiatry (Fleiz, C., Medina-Mora M., Dominguez, M., Villatoro, J. et al.). Article in press.</t>
  </si>
  <si>
    <t>CDC China (National Center for AIDS Prevention and Control, NCAIDS)</t>
  </si>
  <si>
    <t>UN Reference Group</t>
  </si>
  <si>
    <t>former Reference Group to the UN on HIV and Injecting Drug Use</t>
  </si>
  <si>
    <t>A;  Seroprevalence study (IBBS)</t>
  </si>
  <si>
    <t>Five low-threshold facilities in Alytus, Visaginas, Klaipeda, Vilnius and Kaunas</t>
  </si>
  <si>
    <t>Reitox National Focal Point to the EMCDDA; „Metinis pranešimas 2019“; Narkotikų, tabako ir alkoholio kontrolės departamentas</t>
  </si>
  <si>
    <t xml:space="preserve">prevalence of 12.1% (288/2390) </t>
  </si>
  <si>
    <t>A;  Seroprevalence study (IBBS, RDS)</t>
  </si>
  <si>
    <t>Eight cities (Dushanbe, Wahdat, Kulyab, Bokhtar (Kurgan-Tyube, Panjakent, Khorog, Khujand, Rudaki)</t>
  </si>
  <si>
    <t>2017-2019</t>
  </si>
  <si>
    <t>14 sentinel sites: Whitehorse (YK), Central and Northern Vancouver Island (BC), Prince Albert (SK), Regina (SK), Winnipeg (MN), Thunder Bay (ON), London (ON), Hamilton (ON), SurvUDI network (3 sites in QC and Ottawa, ON), New Brunswick, Newfoundland</t>
  </si>
  <si>
    <t>2162 (722 females)</t>
  </si>
  <si>
    <t>"There are some limitations to the findings of the Tracks survey among people who inject drugs in Canada (formerly I-Tracks), namely the survey used non-random sampling meaning that findings may not be representative of all people who inject drugs in any given site or in Canada as a whole."</t>
  </si>
  <si>
    <t>2141 (714 females)</t>
  </si>
  <si>
    <t xml:space="preserve">UNAIDS/Public Health Agency of Canada </t>
  </si>
  <si>
    <t>National Institute of Psychiatry (Fleiz, C., Medina-Mora M., Dominguez, M., Villatoro, J. et al.). Article in press</t>
  </si>
  <si>
    <t xml:space="preserve">ARQ: Department of Health   </t>
  </si>
  <si>
    <t>Those admitted to 2 major hospitals (124 clients)</t>
  </si>
  <si>
    <t>Southern Taiwan</t>
  </si>
  <si>
    <t>87 (13 females)</t>
  </si>
  <si>
    <t>conference abstract</t>
  </si>
  <si>
    <t>Shi MD, Zhang KX, Tsai LY. Injecting drug users (IDUs) prevalence of hepatitis virus, HIV and syphilis in Southern Taiwan. Hepatology International 2013; 7: S116.</t>
  </si>
  <si>
    <t xml:space="preserve">PWID recruited from drug addiction treatment program </t>
  </si>
  <si>
    <t>Conference abstract</t>
  </si>
  <si>
    <t xml:space="preserve">HBsAg. PWID recruited from drug addiction treatment program. Sample size 87 (13 females) </t>
  </si>
  <si>
    <t>history of injection drug use, and had used any illicit drugs in the past 12 months</t>
  </si>
  <si>
    <t>A; Seroprevalence study (RDS through needle and syringe programme sites)</t>
  </si>
  <si>
    <t>Nairobi, coastal Kenya, or western Kenya</t>
  </si>
  <si>
    <t>Akiyama MJ, Cleland CM, Lizcano JA, Cherutich P, Kurth AE. Prevalence, estimated incidence, risk behaviours, and genotypic distribution of hepatitis C virus among people who inject drugs accessing harm-reduction services in Kenya: a retrospective cohort study. Lancet Infect Dis. 2019 Nov;19(11):1255-1263. doi: 10.1016/S1473-3099(19)30264-6. Epub 2019 Sep 17.</t>
  </si>
  <si>
    <t>lower estimate is prevalecne in western Kenya (3/529); upper estimate is in coastal Kenya (183/842)</t>
  </si>
  <si>
    <t xml:space="preserve">same method has already been used in 2009 and 2014 in Skopje; study performed in Skopje, and extrapolated to estimate national prevalence; </t>
  </si>
  <si>
    <t>Indirect Estimate (Multiplier; RDS)</t>
  </si>
  <si>
    <t>2.4-10.8%</t>
  </si>
  <si>
    <t>Lambdin BH, Lorvick J, Mbwambo JK, et al. Prevalence and predictors of HCV among a cohort of opioid treatment patients in Dar es Salaam, Tanzania. Int J Drug Policy. 2017;45:64–69. doi:10.1016/j.drugpo.2017.05.043</t>
  </si>
  <si>
    <t>A; Seroprevalence study (cross-sectional study among PWID engaged in OTP)</t>
  </si>
  <si>
    <t>630 PWID (7% women)</t>
  </si>
  <si>
    <t>recent drug injection</t>
  </si>
  <si>
    <t>To be eligible for OTP, individuals had to (1) present with opioid dependence, (2) have evidence of recent drug injection, and (3) test positive for opioids through urine drug screening.</t>
  </si>
  <si>
    <t>OTP clinic at Muhimbili National Hospital in Dares Salaam</t>
  </si>
  <si>
    <t>Kirby Institute. HIV, viral hepatitis and sexually transmissible infections in Australia: annual surveillance report 2018. Sydney: Kirby Institute, UNSW Sydney; 2018</t>
  </si>
  <si>
    <t>Registration or notification of cases of HBV</t>
  </si>
  <si>
    <t>update for 2020 report: Data was taken from HIV surveillance 2016. Data for Dhaka city was prepared combining old Dhaka (Dhaka-A1) and the rest of Dhaka (Dhaka-A2). In the old Dhaka, IBBS was conducted using time location sampling and in the rest of the Dhaka sentinel surveillance was conducted using first come first serve basis. Data from Hili was then combined with that of Dhaka to have a total prevalence of HIV among male PWID in Bangladesh. In Hili, first come first serve sampling was used. Data for female PWID was also taken from HIV surveillance 2016. The survey was conducted using first come first serve basis. The survey area covered Dhaka and Narayanganj. [Ref: ASP. (2017). Behavioural and serological surveillance amongst key populations at risk of HIV in selected areas of Bangladesh, 2016: Technical Report. National AIDS/STD Program (NASP), Directorate General of Health Services (DGHS), Ministry of Health and Family Welfare, Govt. of the People’s Republic of Bangladesh]. The denominators for each of the sites are as follows: Dhaka-A1: 721; Dhaka-A2:291; Dhaka (FSW): 139 and Hili: 117.</t>
  </si>
  <si>
    <t>Data for Dhaka city was prepared combining old Dhaka (Dhaka-A1) and the rest of Dhaka (Dhaka-A2). Data from Hili was then combined with that of Dhaka. Data for female PWID was also taken from HIV surveillance 2016 and covered Dhaka and Narayanganj.</t>
  </si>
  <si>
    <t>Dhaka-A1: 721; Dhaka-A2:291; Dhaka (FSW): 139 and Hili: 117.</t>
  </si>
  <si>
    <t>study report</t>
  </si>
  <si>
    <t xml:space="preserve">Qiuying Yang, Susanna Ogunnaike-Cooke, Jessica Halverson, Ping Yan, Fan Zhang, Kristina Tomas, Dena Schanzer, Chris P. Archibald. Estimated national HIV incidence rates among key subpopulations in Canada, 2014. Oral presentation at 25th Annual Canadian Conference on HIV/AIDS Research, Winnipeg, May 2016 (abstract number EPH3.5).
</t>
  </si>
  <si>
    <t>Multiple data sources were used (including Canadian Health Measure Survey- Cycle 3, 2012-2013) to estimate the proportion of people in Canada who were current users of injection drugs. For 2020 WDR report, the publication by Jacka et al was discussed for potential update of the estimates, however based on Chris Archibald's assessment (thorough reasoning provided), it was decided to keep the current estimates</t>
  </si>
  <si>
    <t xml:space="preserve">Platt L, Stengel CM, Nkurunziza M, Muhangi D, Byansi P, Wandiembe P, Busago A, Bitira D, Mundia B, Onesmus M, Rhodes T. Assessing risk of HIV and hepatitis C among people who inject drugs in East Africa: Findings from a rapid assessment. J Viral Hepat. 2019 Jul;26(7):926-929. doi: 10.1111/jvh.13088. </t>
  </si>
  <si>
    <t>UNAIDS AIDS Info GAM DB</t>
  </si>
  <si>
    <t>UNAIDS AIDS Info GAM DB (Basée sur les études IBBS auprès des populations clés et les cartographies, données des programmes utilisant le code unique)</t>
  </si>
  <si>
    <t>UNAIDS AIDS Info GAM DB / Etude sur la Cartographie programmatique chez les populations clés du Togo (PS, HSH, UDI et détenus)</t>
  </si>
  <si>
    <t>estimation is based on the IBBS studies and mapping among key populations and programme data using unique code identifiers. There were estimated during a national workshop in 2017 in collaboration with partners working with key populations. Extrapolations were done for the sites without data</t>
  </si>
  <si>
    <t xml:space="preserve">The study adapted the Priorities for Local AIDS Control Efforts (PLACE) programmatic mapping methodology for estimating the size of key populations. The PLACE method involved the listing and consequent mapping of sites in selected geographic areas where key populations can be found. To identify sites, the PLACE programmatic mapping methodology was used (Weir et al. 2003, Weir et al. 2004). The size estimate was disaggregated by gender for PWIDs. For men size estimates were found is between 41 374 and 44135, respectively representing 0.24% and 0.25 of the adult male population 15 years and older based on census 2011, while for women, size estimates were found between 31 489 and 34 402 respectively representing 0.16% and 0.18% of adult female population 15 years and older. </t>
  </si>
  <si>
    <t>UNAIDS AIDS Info GAM DB / presentation</t>
  </si>
  <si>
    <t>UNAIDS / HIV Epidemiology Review Indonesia 2016; Directorate General of Disease Prevention and Control, Ministry of Health, Republic Indonesia 2017</t>
  </si>
  <si>
    <t>Numbers from male PWID from the 31 cities were taken, and prevalence calculated for the whole male population of Afghanistan as denominator; prevalence was then applied to the whole population; the decision was made in order not to disregard this methodologically sound study; however to apply data from cities to the whole country might introduce bias (prevalence of 0.69% results in 139,336 PWID overall); only applying the 25,736 PWID number to the whole population results in an underestimate; therefore, it was decided to take the number of male PWID in the numerator, and the male general population as denominator to calculate prevalence; this will be changed, as soon as a national estimate becomes available</t>
  </si>
  <si>
    <t>A person who injects drugs for non-medical purposes</t>
  </si>
  <si>
    <t>ARQ/ Report on the National Size Estimation of the Most at Risk Populations for HIV in Sri Lanka; 2018; National STD/AIDS Control Programme, Global Fund, WHO collaborating centre Zagreb</t>
  </si>
  <si>
    <t>ARQ / Annual National Report on the state of drug related problems in Bulgaria - 2018, National Focal Point on Drugs and Drug Addictions and National Drug Council.</t>
  </si>
  <si>
    <t>UNAIDS/ Report on the bio behavioural study and    population size estimates of people who inject drugs in skopje, republic of macedonia, 2017 http://iph.mk/wp-content/uploads/2019/03/RDS-LID-2018.pdf</t>
  </si>
  <si>
    <t>UNAIDS AIDS Info GAM DB / Alliance for Public Health</t>
  </si>
  <si>
    <t>ARQ / Raag M, Vorobjov S, Uusküla A. Prevalence of injecting drug use in Estonia 2010-2015: a capture-recapture study. Harm Reduct J. 2019 Mar 14;16(1):19. doi: 10.1186/s12954-019-0289-3</t>
  </si>
  <si>
    <t xml:space="preserve">EMCDDA / Janssen E. (2017), Estimating the number of people who inject drugs: A proposal to provide figures nationwide and its application to France, Journal of Public Health, May 25:1-9, doi: 10.1093/pubmed/fdx059, </t>
  </si>
  <si>
    <t>ARQ / data from Bruces Farm Rehabilitation Centre, Community Drugs Clinics, Prison Admissions</t>
  </si>
  <si>
    <t>UNAIDS / Public Health Agency of Canada. Sexually Transmitted and Blood-borne Infections Surveillance Division. Tracks survey among people who inject drugs in Canada (formerly I-Tracks)</t>
  </si>
  <si>
    <t>UNAIDS AIDSinfo / IBBS 2018</t>
  </si>
  <si>
    <t>UNAIDS AIDSinfo / Sentinel surveillance</t>
  </si>
  <si>
    <t>UNAIDS AIDSinfo / IBBS 2018/ Министерство здравоохранения и социальной защиты населения Республики Таджикистан ГУ «Республиканский центр по профилактике и борьбе с СПИД»</t>
  </si>
  <si>
    <t>ARQ / AIDSinfo / Sentinel surveillance 2018</t>
  </si>
  <si>
    <t>ARQ / Country Progress Report on HIV/AIDS 2018, Ministry of Health</t>
  </si>
  <si>
    <t>UNAIDS / Behavioural and Serological Surveillance amongst Key Populations at Risk of HIV in Selected Areas of Bangladesh, 2016: REPORT. Conducted by Institute of Epidemiology, Disease Control and Research (IEDCR) and icddr,b. AIDS/STD Programme (ASP) Directorate General of Health Services Ministry of Health and Family Welfare Govt. of the People’s Republic of Bangladesh
ASP. (2017). Behavioural and serological surveillance amongst key populations at risk of HIV in selected areas of Bangladesh, 2016: Technical Report. National AIDS/STD Program (NASP), Directorate General of Health Services (DGHS), Ministry of Health and Family Welfare, Govt. of the People’s Republic of Bangladesh</t>
  </si>
  <si>
    <t xml:space="preserve">UNAIDS / National AIDS Control Organization (2017). HIV Sentinel Surveillance: Technical Brief, India 2016-17. New Delhi: NACO, Ministry of Health and Family Welfare, Government of India. </t>
  </si>
  <si>
    <t>UNAIDS AIDS Info GAM DB; Результаты поведенческого и биомедицинского исследования среди ПИН, МСМ, ЖСБ в Республике Беларусь за 2017 год (The results of behavioral and biomedical research among IDUs, MSM, FSW in the Republic of Belarus for 2017)</t>
  </si>
  <si>
    <t xml:space="preserve">UNAIDS AIDS Info GAM DB </t>
  </si>
  <si>
    <t>UNAIDS / IBBS; update of the previous study</t>
  </si>
  <si>
    <t>ARQ / Horvath, Ilonka; Anzenberger, Judith; Busch, Martin; Grabenhofer-Eggerth, Alexander; Schmutterer, Irene; Strizek, Julian; Tanios, Aida; Weigl, Marion (2018): Bericht zur Drogensituation 2018. Gesundheit Österreich, Wien.</t>
  </si>
  <si>
    <t>ARQ / Salekešin M, Vorobjov, S. HIV levimuse ja riskikäitumise uuring Narva narkootikume süstivate inimeste seas 2018. Tallinn: Tervise Arengu Instituut; 2019</t>
  </si>
  <si>
    <t>EMCDDA / Reitox National Focal Point to the EMCDDA; „Metinis pranešimas 2019“; Narkotikų, tabako ir alkoholio kontrolės departamentas</t>
  </si>
  <si>
    <t>EMCDDA / Origer, A. (2017). Rapport National sur l'état du phénomène de la Drogue au Grand-Duché de Luxembourg, RELIS 2016 NFP-LIH, Luxembourg</t>
  </si>
  <si>
    <t xml:space="preserve">ARQ / Report of the study  "Stan zdrowia osób przyjmujących środku odurzające we wstrzyknięciach w zakresie chorób zakaźnych przenoszonych poprzez naruszenie ciągłości tkanek oraz kontakty seksualne. Rozpowszechnienie. Wiedza. Zachowania" - Narodowy Instytut Zdrowia Publicznego-Państwowy Zakład Higieny (NIZP-PZH), 2018: https://www.cinn.gov.pl/portal?id=15&amp;res_id=1382469   </t>
  </si>
  <si>
    <t>ARQ / Spanish Observatory of Drugs and Drug Addiction. Government Delegation for the National Plan on Drugs. Ministry of Health, Social Services and Equality. Indicador de Admisiones a Tratamiento 2017. 
Observatorio Español de las Drogas y las Adicciones. Delegación del Gobierno para el Plan Nacional sobre Drogas.</t>
  </si>
  <si>
    <t>ARQ / Data tables of the Unlinked Anonymous Monitoring Survey of HIV and Hepatitis in People Who Inject Drugs. Surveillance Update: July 2018. (Public Health England). Retrieved from: https://assets.publishing.service.gov.uk/government/uploads/system/uploads/attachment_data/file/729816/UAM_Survey_of_PWID_data_tables_2018.pdf</t>
  </si>
  <si>
    <t>ARQ / Heard S, Iversen J, Geddes L, and Maher L. Australian Needle Syringe Program Survey National Data Report 2013-2017: Prevalence of HIV, HCV and injecting and sexual behaviour among NSP attendees. Sydney: Kirby Institute, UNSW Sydney; 2018. ISSN: 1448-5915.</t>
  </si>
  <si>
    <t>lower estimate corresponds to lowest point estimate (Male IDU  in Mandaue City), higher estimate corresponds to highest point estimate (Male IDU in Cebu); point estimate in female IDU in Cebu is 38.83%</t>
  </si>
  <si>
    <t>UNAIDS / Кечина Е.А., доктор социологических наук, профессор; Результаты дозорного эпидемиологического надзора по оценке ситуации по ВИЧ-инфекции среди групп населения с высоким риском инфицирования ВИЧ; Декабрь 2018 года (Kechina EA, Doctor of Sociology, Professor; Results of sentinel surveillance for assessing the HIV situation among populations at high risk of HIV infection; Release date. December 2018)</t>
  </si>
  <si>
    <t>UNAIDS / Report on the bio behavioural study and    population size estimates of people who inject drugs in skopje, republic of macedonia, 2017 http://iph.mk/wp-content/uploads/2019/03/RDS-LID-2018.pdf</t>
  </si>
  <si>
    <t xml:space="preserve">480 overall </t>
  </si>
  <si>
    <t>EMCDDA / Origer, A. (2017). Rapport National sur l'état du phénomène de la Drogue au Grand-Duché de Luxembourg, RELIS 2016 NFP-LIH, Luxembourg; Devaux, C., et al. (2017). Project HCV-UD et HIV-UD. Document non publié. Luxembourg: Luxembourg Institut of Health (LIH).</t>
  </si>
  <si>
    <t xml:space="preserve">Diagnostic testing from Drug Treatment Centres. </t>
  </si>
  <si>
    <t>Eswatini</t>
  </si>
  <si>
    <t>North Macedonia</t>
  </si>
  <si>
    <t>18 - 75</t>
  </si>
  <si>
    <t>MYT</t>
  </si>
  <si>
    <t>Eastern Europe</t>
  </si>
  <si>
    <t>D1; Experts' judgement</t>
  </si>
  <si>
    <t>B1; mapping and enumeration based on snowball techniques (Programmatic mapping)</t>
  </si>
  <si>
    <t>Lower estimate B1 Mapping Upper estimate: A;  Indirect Estimate (Multiplier Method). Under treatment in rehabilitation centers</t>
  </si>
  <si>
    <t>A; multiplier methods, geographical mapping, enumeration, consensus/Delphi for final population size estimates</t>
  </si>
  <si>
    <t>A;  Multi-site seroprevalence study with at least two sample types</t>
  </si>
  <si>
    <t>NIU</t>
  </si>
  <si>
    <t>Niue</t>
  </si>
  <si>
    <t>TKL</t>
  </si>
  <si>
    <t>Tokelau</t>
  </si>
  <si>
    <t>VAT</t>
  </si>
  <si>
    <t>Holy See</t>
  </si>
  <si>
    <t>Bonaire, Sint Eustatius and Saba</t>
  </si>
  <si>
    <t>BES</t>
  </si>
  <si>
    <t>Government report (Needle Syringe Program National Minimum Data Collection (NSP NMDC) ) / MS comment</t>
  </si>
  <si>
    <t xml:space="preserve">Heard S, Iversen J, Kwon JA and Maher L. Needle Syringe Program National Minimum Data Collection: National Data Report 2019. Sydney: Kirby Institute, UNSW Sydney; 2019. https://kirby.unsw.edu.au/sites/default/files/kirby/report/NSP-NMDC_Report-2019.pdf  </t>
  </si>
  <si>
    <t>2017/18</t>
  </si>
  <si>
    <t xml:space="preserve">14+ </t>
  </si>
  <si>
    <t>Country/Territory</t>
  </si>
  <si>
    <t>ever injector</t>
  </si>
  <si>
    <t>18-52</t>
  </si>
  <si>
    <t>MS comments WDR2020</t>
  </si>
  <si>
    <t>MS comment WDR 2020; ARQ; National Anti-Drug Agency</t>
  </si>
  <si>
    <t xml:space="preserve">MS comment WDR 2020 / ARQ </t>
  </si>
  <si>
    <t>MS comments WDR 2020 / ARQ</t>
  </si>
  <si>
    <t>MS comment WDR 2020</t>
  </si>
  <si>
    <t>2409 tested</t>
  </si>
  <si>
    <t>MS comments WDR 2020</t>
  </si>
  <si>
    <t>East Africa</t>
  </si>
  <si>
    <t>Southern Africa</t>
  </si>
  <si>
    <t>Central America</t>
  </si>
  <si>
    <t>South-Eastern Europe</t>
  </si>
  <si>
    <t>No data available</t>
  </si>
  <si>
    <t xml:space="preserve">However, Alvin K Teo and others, using NSUM estimate the number of PWID in Singapore as 11000 (95% CI 6500 – 17,000)
Alvin K Teo and others, “Estimating the size of key populations for HIV in Singapore using the network scale-up method”, Sexually Transmitted Infection, 2019; 95(8); pp 602‐607
</t>
  </si>
  <si>
    <t>D: Official government estimate with no methodology reported</t>
  </si>
  <si>
    <t>Prison services</t>
  </si>
  <si>
    <t>UNAIDS report a prevalence of 1.5 percent among PWID based on Sentinel Surveillance in Singapore 2017</t>
  </si>
  <si>
    <t>18-64</t>
  </si>
  <si>
    <t>Bucharest-Ilfov</t>
  </si>
  <si>
    <t>A; Seroprevalence Study</t>
  </si>
  <si>
    <t>IBBS study</t>
  </si>
  <si>
    <r>
      <t xml:space="preserve">PWID estimates </t>
    </r>
    <r>
      <rPr>
        <sz val="13"/>
        <rFont val="Arial"/>
        <family val="2"/>
      </rPr>
      <t>PWID population size estimates to 2005 were calculated by Razali et al (2007)</t>
    </r>
    <r>
      <rPr>
        <sz val="9"/>
        <rFont val="Arial"/>
        <family val="2"/>
      </rPr>
      <t>17</t>
    </r>
    <r>
      <rPr>
        <sz val="13"/>
        <rFont val="Arial"/>
        <family val="2"/>
      </rPr>
      <t>. The NSP NMDC project used the method described by Kwon et al (2019)</t>
    </r>
    <r>
      <rPr>
        <sz val="9"/>
        <rFont val="Arial"/>
        <family val="2"/>
      </rPr>
      <t>18</t>
    </r>
    <r>
      <rPr>
        <sz val="13"/>
        <rFont val="Arial"/>
        <family val="2"/>
      </rPr>
      <t xml:space="preserve"> to estimate relative changes in the Australian population of ‘regular’ PWID between 2004/05 and 2018/19: 1) Lifetime and recent (last 12 months) injection of illicit drugs (Table A.1) 2) Illicit drug arrests for amphetamine-type stimulants, heroin/other opioids, cocaine and steroids (Table A.2) 3) ATS, heroin and steroid seizures (Table A.3) 4) Accidental deaths due to opioids (Table A.4) 5) Opioid-related hospital admissions/ separations per million persons aged 15-54 years (Table A.5). 6) HCV notifications among 15-24 years old (Table A.6) Given each of these five indicators is an incomplete measure of probable trends in injection drug use, a best estimate was generated using a combined mean of all indicators. This was used to calculate the relative change in injection drug use since 2005 and to estimate the Australian population of ‘regular’ PWID over the period 2005/06 to 2018/19. Log function was used to obtain a smooth fit of the data</t>
    </r>
    <r>
      <rPr>
        <sz val="20"/>
        <rFont val="Arial"/>
        <family val="2"/>
      </rPr>
      <t xml:space="preserve">; https://kirby.unsw.edu.au/sites/default/files/kirby/report/NSP-NMDC_Report-2019.pdf </t>
    </r>
    <r>
      <rPr>
        <sz val="11"/>
        <rFont val="Arial"/>
        <family val="2"/>
      </rPr>
      <t xml:space="preserve">
MS comment on prevalence estimate: Prevalence estimate has been adjusted to reflect the PWID figure in the 2017/18 NSP NMDC. Prevalence was estimated by dividing 75,142 by the Australian Bureau of Statistics estimated resident population aged 14+ for Australia at 30 June 2018. For reference, the population figure is estimated at 22,094,040. https://www.abs.gov.au/AUSSTATS/abs@.nsf/DetailsPage/3101.0Jun%202019?OpenDocument#Data</t>
    </r>
  </si>
  <si>
    <t>Joint UNODC/WHO/UNAIDS/World Bank estimates for 2018</t>
  </si>
  <si>
    <t>People who inject drugs</t>
  </si>
  <si>
    <t>HIV among people who inject drugs</t>
  </si>
  <si>
    <t>HCV among people who inject drugs</t>
  </si>
  <si>
    <t>HBV among people who inject drugs</t>
  </si>
  <si>
    <t>Estimated number</t>
  </si>
  <si>
    <t>Data coverage of population aged 15-64</t>
  </si>
  <si>
    <t>Prevalence (%) Best estimate</t>
  </si>
  <si>
    <t>Data coverage of estimated number of people who inject drugs</t>
  </si>
  <si>
    <t>Low</t>
  </si>
  <si>
    <t>Best</t>
  </si>
  <si>
    <t>High</t>
  </si>
  <si>
    <t>America</t>
  </si>
  <si>
    <t xml:space="preserve">South-Eastern Europe </t>
  </si>
  <si>
    <t>Global</t>
  </si>
  <si>
    <t>Notes:</t>
  </si>
  <si>
    <t>Estimates in italics are tentative, based on a very small number of reporting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</si>
</sst>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0.000"/>
    <numFmt numFmtId="166" formatCode="0.0"/>
    <numFmt numFmtId="167" formatCode="_-* #,##0.0_-;\-* #,##0.0_-;_-* &quot;-&quot;??_-;_-@_-"/>
    <numFmt numFmtId="168" formatCode="_-* #,##0_-;\-* #,##0_-;_-* &quot;-&quot;??_-;_-@_-"/>
    <numFmt numFmtId="169" formatCode="#,##0.00_ ;\-#,##0.00\ "/>
    <numFmt numFmtId="170" formatCode="#,##0.0_ ;\-#,##0.0\ "/>
    <numFmt numFmtId="171" formatCode="#,##0.0"/>
  </numFmts>
  <fonts count="40" x14ac:knownFonts="1">
    <font>
      <sz val="12"/>
      <name val="Times New Roman"/>
    </font>
    <font>
      <sz val="11"/>
      <color theme="1"/>
      <name val="Calibri"/>
      <family val="2"/>
      <scheme val="minor"/>
    </font>
    <font>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2"/>
      <name val="Times New Roman"/>
      <family val="1"/>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Times New Roman"/>
      <family val="1"/>
    </font>
    <font>
      <i/>
      <sz val="12"/>
      <name val="Times New Roman"/>
      <family val="1"/>
    </font>
    <font>
      <b/>
      <sz val="16"/>
      <name val="Times New Roman"/>
      <family val="1"/>
    </font>
    <font>
      <sz val="12"/>
      <color indexed="10"/>
      <name val="Times New Roman"/>
      <family val="1"/>
    </font>
    <font>
      <vertAlign val="superscript"/>
      <sz val="12"/>
      <name val="Times New Roman"/>
      <family val="1"/>
    </font>
    <font>
      <sz val="10"/>
      <name val="Times New Roman"/>
      <family val="1"/>
    </font>
    <font>
      <sz val="12"/>
      <name val="Times New Roman"/>
      <family val="1"/>
    </font>
    <font>
      <sz val="12"/>
      <name val="Times New Roman"/>
      <family val="1"/>
    </font>
    <font>
      <sz val="8"/>
      <color theme="1"/>
      <name val="Calibri"/>
      <family val="2"/>
      <scheme val="minor"/>
    </font>
    <font>
      <sz val="11"/>
      <color theme="1"/>
      <name val="Calibri"/>
      <family val="2"/>
      <scheme val="minor"/>
    </font>
    <font>
      <sz val="12"/>
      <color theme="1"/>
      <name val="Times New Roman"/>
      <family val="2"/>
    </font>
    <font>
      <sz val="12"/>
      <color rgb="FF00B050"/>
      <name val="Times New Roman"/>
      <family val="1"/>
    </font>
    <font>
      <sz val="11"/>
      <name val="Calibri"/>
      <family val="2"/>
      <scheme val="minor"/>
    </font>
    <font>
      <sz val="12"/>
      <name val="Times New Roman"/>
      <family val="1"/>
    </font>
    <font>
      <sz val="11"/>
      <name val="Arial"/>
      <family val="2"/>
    </font>
    <font>
      <sz val="13"/>
      <name val="Arial"/>
      <family val="2"/>
    </font>
    <font>
      <sz val="9"/>
      <name val="Arial"/>
      <family val="2"/>
    </font>
    <font>
      <sz val="20"/>
      <name val="Arial"/>
      <family val="2"/>
    </font>
    <font>
      <sz val="10"/>
      <name val="Verdan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style="thick">
        <color indexed="64"/>
      </right>
      <top/>
      <bottom/>
      <diagonal/>
    </border>
    <border>
      <left/>
      <right/>
      <top style="thin">
        <color indexed="64"/>
      </top>
      <bottom style="thin">
        <color indexed="64"/>
      </bottom>
      <diagonal/>
    </border>
    <border>
      <left/>
      <right/>
      <top style="thick">
        <color indexed="64"/>
      </top>
      <bottom/>
      <diagonal/>
    </border>
    <border>
      <left/>
      <right/>
      <top/>
      <bottom style="thick">
        <color indexed="64"/>
      </bottom>
      <diagonal/>
    </border>
    <border>
      <left/>
      <right style="thick">
        <color indexed="64"/>
      </right>
      <top/>
      <bottom/>
      <diagonal/>
    </border>
    <border>
      <left style="medium">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style="thin">
        <color theme="0"/>
      </right>
      <top/>
      <bottom style="thin">
        <color indexed="64"/>
      </bottom>
      <diagonal/>
    </border>
    <border>
      <left style="thin">
        <color theme="0"/>
      </left>
      <right style="thin">
        <color theme="0"/>
      </right>
      <top style="thin">
        <color theme="0" tint="-0.14996795556505021"/>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style="thin">
        <color theme="0" tint="-0.14996795556505021"/>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int="-0.14996795556505021"/>
      </top>
      <bottom/>
      <diagonal/>
    </border>
    <border>
      <left style="thin">
        <color theme="0"/>
      </left>
      <right style="thin">
        <color theme="0"/>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right/>
      <top style="hair">
        <color indexed="64"/>
      </top>
      <bottom/>
      <diagonal/>
    </border>
    <border>
      <left/>
      <right/>
      <top style="hair">
        <color indexed="64"/>
      </top>
      <bottom style="hair">
        <color indexed="64"/>
      </bottom>
      <diagonal/>
    </border>
  </borders>
  <cellStyleXfs count="110">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43" fontId="2"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6" fillId="0" borderId="0"/>
    <xf numFmtId="0" fontId="16" fillId="0" borderId="0"/>
    <xf numFmtId="0" fontId="29" fillId="0" borderId="0"/>
    <xf numFmtId="0" fontId="30" fillId="0" borderId="0"/>
    <xf numFmtId="0" fontId="27" fillId="0" borderId="0"/>
    <xf numFmtId="0" fontId="16" fillId="0" borderId="0"/>
    <xf numFmtId="0" fontId="31" fillId="0" borderId="0"/>
    <xf numFmtId="0" fontId="16" fillId="23" borderId="7" applyNumberFormat="0" applyFont="0" applyAlignment="0" applyProtection="0"/>
    <xf numFmtId="0" fontId="16"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3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23" borderId="7" applyNumberFormat="0" applyFont="0" applyAlignment="0" applyProtection="0"/>
    <xf numFmtId="9" fontId="1" fillId="0" borderId="0" applyFont="0" applyFill="0" applyBorder="0" applyAlignment="0" applyProtection="0"/>
    <xf numFmtId="43" fontId="34" fillId="0" borderId="0" applyFont="0" applyFill="0" applyBorder="0" applyAlignment="0" applyProtection="0"/>
  </cellStyleXfs>
  <cellXfs count="293">
    <xf numFmtId="0" fontId="0" fillId="0" borderId="0" xfId="0"/>
    <xf numFmtId="0" fontId="21" fillId="0" borderId="0" xfId="0" applyFont="1" applyFill="1" applyBorder="1" applyAlignment="1">
      <alignment horizontal="center" vertical="center"/>
    </xf>
    <xf numFmtId="0" fontId="0" fillId="0" borderId="0" xfId="0" applyAlignment="1">
      <alignment wrapText="1"/>
    </xf>
    <xf numFmtId="164" fontId="0" fillId="0" borderId="0" xfId="0" applyNumberFormat="1"/>
    <xf numFmtId="0" fontId="21" fillId="0" borderId="10" xfId="0" applyFont="1" applyBorder="1" applyAlignment="1">
      <alignment horizontal="center" vertical="center"/>
    </xf>
    <xf numFmtId="0" fontId="0" fillId="0" borderId="13" xfId="0" applyBorder="1"/>
    <xf numFmtId="0" fontId="21" fillId="0" borderId="15" xfId="0" applyFont="1" applyBorder="1" applyAlignment="1">
      <alignment horizontal="center" vertical="center" wrapText="1"/>
    </xf>
    <xf numFmtId="0" fontId="16" fillId="0" borderId="43" xfId="79" applyBorder="1"/>
    <xf numFmtId="0" fontId="21" fillId="0" borderId="43" xfId="79" applyFont="1" applyBorder="1"/>
    <xf numFmtId="0" fontId="16" fillId="0" borderId="43" xfId="79" applyFont="1" applyBorder="1"/>
    <xf numFmtId="0" fontId="16" fillId="0" borderId="44" xfId="79" applyBorder="1"/>
    <xf numFmtId="0" fontId="26" fillId="0" borderId="45" xfId="79" applyFont="1" applyBorder="1"/>
    <xf numFmtId="0" fontId="16" fillId="0" borderId="45" xfId="79" applyBorder="1"/>
    <xf numFmtId="0" fontId="16" fillId="0" borderId="46" xfId="79" applyBorder="1"/>
    <xf numFmtId="0" fontId="16" fillId="0" borderId="46" xfId="79" applyFont="1" applyBorder="1"/>
    <xf numFmtId="0" fontId="16" fillId="0" borderId="47" xfId="79" applyBorder="1"/>
    <xf numFmtId="0" fontId="16" fillId="0" borderId="47" xfId="79" applyFont="1" applyBorder="1"/>
    <xf numFmtId="0" fontId="16" fillId="0" borderId="48" xfId="79" applyBorder="1"/>
    <xf numFmtId="0" fontId="16" fillId="0" borderId="49" xfId="79" applyBorder="1"/>
    <xf numFmtId="0" fontId="16" fillId="0" borderId="50" xfId="79" applyBorder="1"/>
    <xf numFmtId="0" fontId="16" fillId="0" borderId="49" xfId="79" applyFont="1" applyBorder="1"/>
    <xf numFmtId="0" fontId="21" fillId="0" borderId="45" xfId="79" applyFont="1" applyBorder="1"/>
    <xf numFmtId="0" fontId="21" fillId="0" borderId="51" xfId="79" applyFont="1" applyBorder="1"/>
    <xf numFmtId="0" fontId="21" fillId="0" borderId="49" xfId="79" applyFont="1" applyBorder="1"/>
    <xf numFmtId="0" fontId="21" fillId="0" borderId="52" xfId="79" applyFont="1" applyBorder="1"/>
    <xf numFmtId="0" fontId="21" fillId="0" borderId="48" xfId="79" applyFont="1" applyBorder="1"/>
    <xf numFmtId="0" fontId="21" fillId="0" borderId="50" xfId="79" applyFont="1" applyBorder="1"/>
    <xf numFmtId="0" fontId="21" fillId="0" borderId="44" xfId="79" applyFont="1" applyBorder="1"/>
    <xf numFmtId="0" fontId="16" fillId="0" borderId="55" xfId="79" applyBorder="1"/>
    <xf numFmtId="0" fontId="0" fillId="0" borderId="0" xfId="0" applyFill="1"/>
    <xf numFmtId="0" fontId="26" fillId="0" borderId="43" xfId="79" applyFont="1" applyBorder="1"/>
    <xf numFmtId="0" fontId="16" fillId="0" borderId="43" xfId="79" applyBorder="1" applyAlignment="1">
      <alignment vertical="top"/>
    </xf>
    <xf numFmtId="0" fontId="16" fillId="0" borderId="0" xfId="0" applyFont="1" applyFill="1"/>
    <xf numFmtId="0" fontId="21" fillId="24" borderId="16" xfId="0" applyFont="1" applyFill="1" applyBorder="1" applyAlignment="1">
      <alignment horizontal="center" vertical="center"/>
    </xf>
    <xf numFmtId="0" fontId="21" fillId="24" borderId="18" xfId="0" applyFont="1" applyFill="1" applyBorder="1" applyAlignment="1">
      <alignment horizontal="center" vertical="center"/>
    </xf>
    <xf numFmtId="0" fontId="22" fillId="24" borderId="56" xfId="79" applyFont="1" applyFill="1" applyBorder="1" applyAlignment="1">
      <alignment vertical="center"/>
    </xf>
    <xf numFmtId="0" fontId="23" fillId="0" borderId="57" xfId="79" applyFont="1" applyBorder="1" applyAlignment="1"/>
    <xf numFmtId="0" fontId="23" fillId="0" borderId="54" xfId="79" applyFont="1" applyBorder="1" applyAlignment="1"/>
    <xf numFmtId="0" fontId="23" fillId="0" borderId="58" xfId="79" applyFont="1" applyBorder="1" applyAlignment="1"/>
    <xf numFmtId="0" fontId="24" fillId="0" borderId="0" xfId="0" applyFont="1" applyFill="1" applyAlignment="1">
      <alignment wrapText="1"/>
    </xf>
    <xf numFmtId="0" fontId="0" fillId="0" borderId="0" xfId="0" applyFont="1" applyFill="1"/>
    <xf numFmtId="0" fontId="0" fillId="0" borderId="0" xfId="0" applyFill="1" applyBorder="1"/>
    <xf numFmtId="0" fontId="2" fillId="0" borderId="47" xfId="79" applyFont="1" applyBorder="1"/>
    <xf numFmtId="0" fontId="0" fillId="0" borderId="0" xfId="0" applyFill="1" applyAlignment="1"/>
    <xf numFmtId="0" fontId="0" fillId="0" borderId="12" xfId="0" applyFill="1" applyBorder="1"/>
    <xf numFmtId="166" fontId="21" fillId="0" borderId="0" xfId="0" applyNumberFormat="1" applyFont="1" applyFill="1" applyBorder="1"/>
    <xf numFmtId="0" fontId="0" fillId="0" borderId="13" xfId="0" applyFill="1" applyBorder="1"/>
    <xf numFmtId="166" fontId="21" fillId="0" borderId="0" xfId="0" applyNumberFormat="1" applyFont="1" applyFill="1"/>
    <xf numFmtId="0" fontId="0" fillId="0" borderId="0" xfId="0" applyFill="1" applyAlignment="1">
      <alignment wrapText="1"/>
    </xf>
    <xf numFmtId="164" fontId="21" fillId="0" borderId="0" xfId="0" applyNumberFormat="1" applyFont="1" applyFill="1" applyBorder="1"/>
    <xf numFmtId="2" fontId="21" fillId="0" borderId="0" xfId="0" applyNumberFormat="1" applyFont="1" applyFill="1" applyBorder="1"/>
    <xf numFmtId="0" fontId="22" fillId="0" borderId="12" xfId="0" applyFont="1" applyFill="1" applyBorder="1"/>
    <xf numFmtId="0" fontId="32" fillId="0" borderId="0" xfId="0" applyFont="1" applyFill="1" applyAlignment="1">
      <alignment wrapText="1"/>
    </xf>
    <xf numFmtId="0" fontId="22" fillId="0" borderId="0" xfId="0" applyFont="1" applyFill="1" applyBorder="1"/>
    <xf numFmtId="164" fontId="21" fillId="0" borderId="13" xfId="0" applyNumberFormat="1" applyFont="1" applyFill="1" applyBorder="1"/>
    <xf numFmtId="2" fontId="21" fillId="0" borderId="13" xfId="0" applyNumberFormat="1" applyFont="1" applyFill="1" applyBorder="1"/>
    <xf numFmtId="0" fontId="2" fillId="0" borderId="0" xfId="0" applyFont="1" applyFill="1"/>
    <xf numFmtId="167" fontId="21" fillId="0" borderId="0" xfId="0" applyNumberFormat="1" applyFont="1" applyFill="1" applyBorder="1"/>
    <xf numFmtId="166" fontId="21" fillId="0" borderId="13" xfId="0" applyNumberFormat="1" applyFont="1" applyFill="1" applyBorder="1"/>
    <xf numFmtId="166" fontId="21" fillId="0" borderId="0" xfId="0" quotePrefix="1" applyNumberFormat="1" applyFont="1" applyFill="1"/>
    <xf numFmtId="166" fontId="21" fillId="0" borderId="0" xfId="0" quotePrefix="1" applyNumberFormat="1" applyFont="1" applyFill="1" applyBorder="1"/>
    <xf numFmtId="166" fontId="21" fillId="0" borderId="12" xfId="0" quotePrefix="1" applyNumberFormat="1" applyFont="1" applyFill="1" applyBorder="1"/>
    <xf numFmtId="0" fontId="16" fillId="0" borderId="0" xfId="0" applyFont="1" applyFill="1" applyAlignment="1"/>
    <xf numFmtId="0" fontId="21" fillId="24" borderId="17" xfId="0" applyFont="1" applyFill="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 fillId="0" borderId="0" xfId="0" applyFont="1" applyFill="1" applyAlignment="1">
      <alignment wrapText="1"/>
    </xf>
    <xf numFmtId="0" fontId="0" fillId="26" borderId="0" xfId="0" applyFill="1"/>
    <xf numFmtId="164" fontId="2" fillId="0" borderId="0" xfId="0" applyNumberFormat="1" applyFont="1" applyFill="1"/>
    <xf numFmtId="2" fontId="2" fillId="0" borderId="0" xfId="0" applyNumberFormat="1" applyFont="1" applyFill="1"/>
    <xf numFmtId="3" fontId="2" fillId="0" borderId="0" xfId="0" applyNumberFormat="1" applyFont="1" applyFill="1"/>
    <xf numFmtId="0" fontId="2" fillId="0" borderId="0" xfId="0" applyFont="1" applyFill="1" applyAlignment="1">
      <alignment horizontal="left" vertical="center" wrapText="1"/>
    </xf>
    <xf numFmtId="0" fontId="2" fillId="0" borderId="13" xfId="0" applyFont="1" applyFill="1" applyBorder="1"/>
    <xf numFmtId="0" fontId="2" fillId="0" borderId="13" xfId="0" applyFont="1" applyFill="1" applyBorder="1" applyAlignment="1">
      <alignment wrapText="1"/>
    </xf>
    <xf numFmtId="0" fontId="2" fillId="0" borderId="12" xfId="0" applyFont="1" applyFill="1" applyBorder="1"/>
    <xf numFmtId="164" fontId="2" fillId="0" borderId="12" xfId="0" applyNumberFormat="1" applyFont="1" applyFill="1" applyBorder="1"/>
    <xf numFmtId="0" fontId="2" fillId="0" borderId="0" xfId="0" applyFont="1" applyFill="1" applyBorder="1" applyAlignment="1">
      <alignment wrapText="1"/>
    </xf>
    <xf numFmtId="0" fontId="2" fillId="0" borderId="0" xfId="80" applyFont="1" applyFill="1"/>
    <xf numFmtId="0" fontId="2" fillId="0" borderId="0" xfId="0" applyFont="1" applyFill="1" applyAlignment="1">
      <alignment horizontal="right"/>
    </xf>
    <xf numFmtId="165" fontId="2" fillId="0" borderId="0" xfId="0" applyNumberFormat="1" applyFont="1" applyFill="1"/>
    <xf numFmtId="0" fontId="2" fillId="0" borderId="0" xfId="0" applyFont="1" applyFill="1" applyBorder="1"/>
    <xf numFmtId="164" fontId="2" fillId="0" borderId="0" xfId="0" applyNumberFormat="1" applyFont="1" applyFill="1" applyBorder="1"/>
    <xf numFmtId="2" fontId="2" fillId="0" borderId="0" xfId="0" applyNumberFormat="1" applyFont="1" applyFill="1" applyBorder="1"/>
    <xf numFmtId="166" fontId="2" fillId="0" borderId="0" xfId="0" applyNumberFormat="1" applyFont="1" applyFill="1" applyBorder="1"/>
    <xf numFmtId="3" fontId="2" fillId="0" borderId="0" xfId="0" applyNumberFormat="1" applyFont="1" applyFill="1" applyBorder="1"/>
    <xf numFmtId="49" fontId="2" fillId="0" borderId="0" xfId="0" applyNumberFormat="1" applyFont="1" applyFill="1"/>
    <xf numFmtId="0" fontId="2" fillId="0" borderId="0" xfId="0" quotePrefix="1" applyNumberFormat="1" applyFont="1" applyFill="1"/>
    <xf numFmtId="1" fontId="2" fillId="0" borderId="0" xfId="0" applyNumberFormat="1" applyFont="1" applyFill="1"/>
    <xf numFmtId="0" fontId="21" fillId="0" borderId="0" xfId="0" applyFont="1" applyFill="1"/>
    <xf numFmtId="0" fontId="2" fillId="0" borderId="0" xfId="0" applyFont="1"/>
    <xf numFmtId="164" fontId="2" fillId="0" borderId="0" xfId="0" applyNumberFormat="1" applyFont="1"/>
    <xf numFmtId="2" fontId="2" fillId="0" borderId="0" xfId="0" applyNumberFormat="1" applyFont="1"/>
    <xf numFmtId="3" fontId="2" fillId="0" borderId="0" xfId="0" applyNumberFormat="1" applyFont="1"/>
    <xf numFmtId="0" fontId="2" fillId="0" borderId="0" xfId="0" applyFont="1" applyAlignment="1">
      <alignment wrapText="1"/>
    </xf>
    <xf numFmtId="0" fontId="2" fillId="26" borderId="0" xfId="0" applyFont="1" applyFill="1"/>
    <xf numFmtId="164" fontId="2" fillId="26" borderId="0" xfId="0" applyNumberFormat="1" applyFont="1" applyFill="1"/>
    <xf numFmtId="2" fontId="2" fillId="26" borderId="0" xfId="0" applyNumberFormat="1" applyFont="1" applyFill="1"/>
    <xf numFmtId="3" fontId="2" fillId="26" borderId="0" xfId="0" applyNumberFormat="1" applyFont="1" applyFill="1"/>
    <xf numFmtId="0" fontId="2" fillId="26" borderId="0" xfId="0" applyFont="1" applyFill="1" applyAlignment="1">
      <alignment wrapText="1"/>
    </xf>
    <xf numFmtId="164" fontId="2" fillId="0" borderId="13" xfId="0" applyNumberFormat="1" applyFont="1" applyFill="1" applyBorder="1"/>
    <xf numFmtId="2" fontId="2" fillId="0" borderId="13" xfId="0" applyNumberFormat="1" applyFont="1" applyFill="1" applyBorder="1"/>
    <xf numFmtId="3" fontId="2" fillId="0" borderId="13" xfId="0" applyNumberFormat="1" applyFont="1" applyFill="1" applyBorder="1"/>
    <xf numFmtId="166" fontId="2" fillId="0" borderId="0" xfId="0" applyNumberFormat="1" applyFont="1" applyFill="1"/>
    <xf numFmtId="49" fontId="2" fillId="0" borderId="0" xfId="0" applyNumberFormat="1" applyFont="1" applyFill="1" applyAlignment="1"/>
    <xf numFmtId="0" fontId="35" fillId="0" borderId="0" xfId="0" applyFont="1" applyFill="1"/>
    <xf numFmtId="0" fontId="2" fillId="0" borderId="13" xfId="0" applyFont="1" applyBorder="1"/>
    <xf numFmtId="164" fontId="2" fillId="0" borderId="13" xfId="0" applyNumberFormat="1" applyFont="1" applyBorder="1"/>
    <xf numFmtId="0" fontId="2" fillId="0" borderId="13" xfId="0" applyFont="1" applyBorder="1" applyAlignment="1">
      <alignment wrapText="1"/>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vertical="center" wrapText="1"/>
    </xf>
    <xf numFmtId="0" fontId="2" fillId="0" borderId="0" xfId="0" applyNumberFormat="1" applyFont="1" applyFill="1"/>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vertical="center" wrapText="1"/>
    </xf>
    <xf numFmtId="3" fontId="2" fillId="0" borderId="0" xfId="0" applyNumberFormat="1" applyFont="1" applyFill="1" applyAlignment="1">
      <alignment horizontal="left"/>
    </xf>
    <xf numFmtId="3" fontId="2" fillId="0" borderId="0" xfId="0" applyNumberFormat="1" applyFont="1" applyFill="1" applyAlignment="1">
      <alignment horizontal="left" vertical="center" wrapText="1"/>
    </xf>
    <xf numFmtId="169" fontId="2" fillId="0" borderId="0" xfId="0" applyNumberFormat="1" applyFont="1" applyFill="1" applyAlignment="1"/>
    <xf numFmtId="0" fontId="2" fillId="26" borderId="0" xfId="0" applyFont="1" applyFill="1" applyAlignment="1">
      <alignment vertical="center" wrapText="1"/>
    </xf>
    <xf numFmtId="0" fontId="2" fillId="26" borderId="0" xfId="0" applyFont="1" applyFill="1" applyAlignment="1">
      <alignment horizontal="left" vertical="center" wrapText="1"/>
    </xf>
    <xf numFmtId="0" fontId="33" fillId="0" borderId="19" xfId="82" applyFont="1" applyFill="1" applyBorder="1"/>
    <xf numFmtId="168" fontId="2" fillId="0" borderId="0" xfId="55" applyNumberFormat="1" applyFont="1" applyFill="1"/>
    <xf numFmtId="170" fontId="2" fillId="0" borderId="0" xfId="0" applyNumberFormat="1" applyFont="1" applyFill="1" applyAlignment="1">
      <alignment horizontal="right"/>
    </xf>
    <xf numFmtId="0" fontId="2" fillId="0" borderId="0" xfId="0" quotePrefix="1" applyNumberFormat="1" applyFont="1" applyFill="1" applyAlignment="1">
      <alignment horizontal="right"/>
    </xf>
    <xf numFmtId="0" fontId="2" fillId="0" borderId="0" xfId="0" quotePrefix="1" applyNumberFormat="1" applyFont="1" applyFill="1" applyAlignment="1">
      <alignment horizontal="left"/>
    </xf>
    <xf numFmtId="0" fontId="2" fillId="0" borderId="0" xfId="0" applyFont="1" applyFill="1" applyAlignment="1">
      <alignment horizontal="left" wrapText="1"/>
    </xf>
    <xf numFmtId="0" fontId="2" fillId="0" borderId="12" xfId="0" quotePrefix="1" applyNumberFormat="1" applyFont="1" applyFill="1" applyBorder="1"/>
    <xf numFmtId="0" fontId="2" fillId="0" borderId="12" xfId="0" quotePrefix="1" applyNumberFormat="1" applyFont="1" applyFill="1" applyBorder="1" applyAlignment="1">
      <alignment horizontal="left"/>
    </xf>
    <xf numFmtId="0" fontId="2" fillId="0" borderId="0" xfId="0" applyNumberFormat="1" applyFont="1" applyFill="1" applyAlignment="1">
      <alignment horizontal="right"/>
    </xf>
    <xf numFmtId="0" fontId="2" fillId="0" borderId="0" xfId="0" applyNumberFormat="1" applyFont="1" applyFill="1" applyAlignment="1">
      <alignment horizontal="left"/>
    </xf>
    <xf numFmtId="166" fontId="2" fillId="0" borderId="0" xfId="0" quotePrefix="1" applyNumberFormat="1" applyFont="1" applyFill="1"/>
    <xf numFmtId="17" fontId="2" fillId="0" borderId="0" xfId="0" quotePrefix="1" applyNumberFormat="1" applyFont="1" applyFill="1" applyAlignment="1">
      <alignment horizontal="left"/>
    </xf>
    <xf numFmtId="0" fontId="2" fillId="0" borderId="0" xfId="0" applyNumberFormat="1" applyFont="1" applyFill="1" applyAlignment="1">
      <alignment wrapText="1"/>
    </xf>
    <xf numFmtId="0" fontId="2" fillId="0" borderId="0" xfId="0" quotePrefix="1" applyNumberFormat="1" applyFont="1" applyFill="1" applyBorder="1"/>
    <xf numFmtId="0" fontId="2" fillId="0" borderId="0" xfId="0" quotePrefix="1" applyNumberFormat="1" applyFont="1" applyFill="1" applyBorder="1" applyAlignment="1">
      <alignment horizontal="left"/>
    </xf>
    <xf numFmtId="166" fontId="2" fillId="0" borderId="0" xfId="0" quotePrefix="1" applyNumberFormat="1" applyFont="1" applyFill="1" applyBorder="1"/>
    <xf numFmtId="3" fontId="2" fillId="0" borderId="0" xfId="0" quotePrefix="1" applyNumberFormat="1" applyFont="1" applyFill="1" applyAlignment="1">
      <alignment horizontal="left"/>
    </xf>
    <xf numFmtId="0" fontId="2" fillId="0" borderId="0" xfId="0" quotePrefix="1" applyNumberFormat="1" applyFont="1" applyFill="1" applyAlignment="1">
      <alignment wrapText="1"/>
    </xf>
    <xf numFmtId="0" fontId="2" fillId="0" borderId="0" xfId="0" quotePrefix="1" applyNumberFormat="1" applyFont="1" applyFill="1" applyAlignment="1">
      <alignment horizontal="left" wrapText="1"/>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12" xfId="0" applyNumberFormat="1" applyFont="1" applyFill="1" applyBorder="1"/>
    <xf numFmtId="0" fontId="2" fillId="0" borderId="0" xfId="0" applyNumberFormat="1" applyFont="1" applyFill="1" applyBorder="1"/>
    <xf numFmtId="0" fontId="2" fillId="0" borderId="0" xfId="0" applyFont="1" applyFill="1" applyAlignment="1">
      <alignment vertical="center"/>
    </xf>
    <xf numFmtId="0" fontId="2" fillId="0" borderId="0" xfId="0" applyFont="1" applyFill="1" applyAlignment="1"/>
    <xf numFmtId="0" fontId="2" fillId="0" borderId="13" xfId="0" quotePrefix="1" applyNumberFormat="1" applyFont="1" applyFill="1" applyBorder="1"/>
    <xf numFmtId="0" fontId="2" fillId="0" borderId="13" xfId="0" quotePrefix="1" applyNumberFormat="1" applyFont="1" applyFill="1" applyBorder="1" applyAlignment="1">
      <alignment horizontal="left"/>
    </xf>
    <xf numFmtId="0" fontId="2" fillId="0" borderId="13" xfId="0" applyNumberFormat="1" applyFont="1" applyFill="1" applyBorder="1"/>
    <xf numFmtId="0" fontId="2" fillId="0" borderId="0" xfId="0" applyNumberFormat="1" applyFont="1" applyFill="1" applyAlignment="1"/>
    <xf numFmtId="0" fontId="2" fillId="0" borderId="0" xfId="0" quotePrefix="1" applyNumberFormat="1" applyFont="1" applyFill="1" applyAlignment="1"/>
    <xf numFmtId="0" fontId="2" fillId="0" borderId="0" xfId="0" quotePrefix="1" applyFont="1" applyFill="1"/>
    <xf numFmtId="0" fontId="2" fillId="0" borderId="12" xfId="0" applyFont="1" applyFill="1" applyBorder="1" applyAlignment="1">
      <alignment horizontal="left"/>
    </xf>
    <xf numFmtId="49" fontId="2" fillId="0" borderId="0" xfId="0" applyNumberFormat="1" applyFont="1" applyFill="1" applyAlignment="1">
      <alignment horizontal="left" vertical="center"/>
    </xf>
    <xf numFmtId="0" fontId="2" fillId="0" borderId="0" xfId="0" applyFont="1" applyFill="1" applyBorder="1" applyAlignment="1">
      <alignment horizontal="left"/>
    </xf>
    <xf numFmtId="0" fontId="39" fillId="0" borderId="0" xfId="0" applyFont="1" applyFill="1"/>
    <xf numFmtId="0" fontId="2" fillId="0" borderId="13" xfId="0" applyFont="1" applyFill="1" applyBorder="1" applyAlignment="1">
      <alignment horizontal="right"/>
    </xf>
    <xf numFmtId="0" fontId="2" fillId="0" borderId="0" xfId="0" applyFont="1" applyFill="1" applyAlignment="1">
      <alignment horizontal="center" vertical="center"/>
    </xf>
    <xf numFmtId="0" fontId="23" fillId="0" borderId="0" xfId="0" applyFont="1" applyAlignment="1">
      <alignment vertical="center"/>
    </xf>
    <xf numFmtId="0" fontId="0" fillId="0" borderId="53" xfId="0" applyBorder="1"/>
    <xf numFmtId="0" fontId="0" fillId="0" borderId="61" xfId="0" applyBorder="1"/>
    <xf numFmtId="0" fontId="21" fillId="26"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24" borderId="63" xfId="0" applyFont="1" applyFill="1" applyBorder="1" applyAlignment="1">
      <alignment horizontal="right" vertical="center"/>
    </xf>
    <xf numFmtId="0" fontId="21" fillId="0" borderId="65" xfId="0" applyFont="1" applyBorder="1" applyAlignment="1">
      <alignment vertical="center"/>
    </xf>
    <xf numFmtId="3" fontId="21" fillId="0" borderId="65" xfId="0" applyNumberFormat="1" applyFont="1" applyBorder="1" applyAlignment="1">
      <alignment vertical="center"/>
    </xf>
    <xf numFmtId="4" fontId="21" fillId="0" borderId="65" xfId="0" applyNumberFormat="1" applyFont="1" applyBorder="1" applyAlignment="1">
      <alignment vertical="center"/>
    </xf>
    <xf numFmtId="2" fontId="21" fillId="26" borderId="0" xfId="0" applyNumberFormat="1" applyFont="1" applyFill="1" applyAlignment="1">
      <alignment horizontal="center" vertical="center"/>
    </xf>
    <xf numFmtId="3" fontId="21" fillId="0" borderId="62" xfId="0" applyNumberFormat="1" applyFont="1" applyBorder="1" applyAlignment="1">
      <alignment vertical="center"/>
    </xf>
    <xf numFmtId="166" fontId="21" fillId="0" borderId="65" xfId="0" applyNumberFormat="1" applyFont="1" applyBorder="1" applyAlignment="1">
      <alignment horizontal="center" vertical="center"/>
    </xf>
    <xf numFmtId="3" fontId="21" fillId="0" borderId="66" xfId="0" applyNumberFormat="1" applyFont="1" applyBorder="1" applyAlignment="1">
      <alignment horizontal="right" vertical="center"/>
    </xf>
    <xf numFmtId="166" fontId="21" fillId="0" borderId="0" xfId="0" applyNumberFormat="1" applyFont="1" applyAlignment="1">
      <alignment horizontal="center" vertical="center"/>
    </xf>
    <xf numFmtId="171" fontId="21" fillId="0" borderId="65" xfId="0" applyNumberFormat="1" applyFont="1" applyBorder="1" applyAlignment="1">
      <alignment horizontal="center" vertical="center"/>
    </xf>
    <xf numFmtId="0" fontId="0" fillId="0" borderId="66" xfId="0" applyBorder="1" applyAlignment="1">
      <alignment vertical="center"/>
    </xf>
    <xf numFmtId="3" fontId="0" fillId="0" borderId="66" xfId="0" applyNumberFormat="1" applyBorder="1" applyAlignment="1">
      <alignment vertical="center"/>
    </xf>
    <xf numFmtId="2" fontId="0" fillId="0" borderId="66" xfId="0" applyNumberFormat="1" applyBorder="1" applyAlignment="1">
      <alignment horizontal="right" vertical="center"/>
    </xf>
    <xf numFmtId="2" fontId="0" fillId="26" borderId="0" xfId="0" applyNumberFormat="1" applyFill="1" applyAlignment="1">
      <alignment horizontal="center" vertical="center"/>
    </xf>
    <xf numFmtId="3" fontId="2" fillId="0" borderId="66" xfId="0" applyNumberFormat="1" applyFont="1" applyBorder="1" applyAlignment="1">
      <alignment vertical="center"/>
    </xf>
    <xf numFmtId="166" fontId="0" fillId="0" borderId="66" xfId="0" applyNumberFormat="1" applyBorder="1" applyAlignment="1">
      <alignment horizontal="center" vertical="center"/>
    </xf>
    <xf numFmtId="166" fontId="0" fillId="0" borderId="0" xfId="0" applyNumberFormat="1" applyAlignment="1">
      <alignment horizontal="center" vertical="center"/>
    </xf>
    <xf numFmtId="0" fontId="0" fillId="0" borderId="0" xfId="0" quotePrefix="1"/>
    <xf numFmtId="0" fontId="0" fillId="0" borderId="67" xfId="0" applyBorder="1" applyAlignment="1">
      <alignment vertical="center"/>
    </xf>
    <xf numFmtId="0" fontId="0" fillId="0" borderId="64" xfId="0" quotePrefix="1" applyBorder="1"/>
    <xf numFmtId="3" fontId="0" fillId="0" borderId="67" xfId="0" applyNumberFormat="1" applyBorder="1" applyAlignment="1">
      <alignment vertical="center"/>
    </xf>
    <xf numFmtId="2" fontId="0" fillId="0" borderId="67" xfId="0" applyNumberFormat="1" applyBorder="1" applyAlignment="1">
      <alignment horizontal="right" vertical="center"/>
    </xf>
    <xf numFmtId="3" fontId="2" fillId="0" borderId="0" xfId="0" applyNumberFormat="1" applyFont="1" applyAlignment="1">
      <alignment vertical="center"/>
    </xf>
    <xf numFmtId="166" fontId="0" fillId="0" borderId="68" xfId="0" applyNumberFormat="1" applyBorder="1" applyAlignment="1">
      <alignment horizontal="center" vertical="center"/>
    </xf>
    <xf numFmtId="166" fontId="0" fillId="0" borderId="67" xfId="0" applyNumberFormat="1" applyBorder="1" applyAlignment="1">
      <alignment horizontal="center" vertical="center"/>
    </xf>
    <xf numFmtId="0" fontId="21" fillId="0" borderId="66" xfId="0" applyFont="1" applyBorder="1" applyAlignment="1">
      <alignment vertical="center"/>
    </xf>
    <xf numFmtId="3" fontId="21" fillId="0" borderId="66" xfId="0" applyNumberFormat="1" applyFont="1" applyBorder="1" applyAlignment="1">
      <alignment vertical="center"/>
    </xf>
    <xf numFmtId="2" fontId="21" fillId="0" borderId="66" xfId="0" applyNumberFormat="1" applyFont="1" applyBorder="1" applyAlignment="1">
      <alignment horizontal="right" vertical="center"/>
    </xf>
    <xf numFmtId="166" fontId="21" fillId="0" borderId="66" xfId="0" applyNumberFormat="1" applyFont="1" applyBorder="1" applyAlignment="1">
      <alignment horizontal="center" vertical="center"/>
    </xf>
    <xf numFmtId="166" fontId="22" fillId="0" borderId="0" xfId="0" applyNumberFormat="1" applyFont="1" applyAlignment="1">
      <alignment horizontal="center" vertical="center"/>
    </xf>
    <xf numFmtId="3" fontId="0" fillId="0" borderId="66" xfId="0" applyNumberFormat="1" applyBorder="1" applyAlignment="1">
      <alignment horizontal="right" vertical="center"/>
    </xf>
    <xf numFmtId="171" fontId="0" fillId="0" borderId="66" xfId="0" applyNumberFormat="1" applyBorder="1" applyAlignment="1">
      <alignment horizontal="center" vertical="center"/>
    </xf>
    <xf numFmtId="3" fontId="0" fillId="0" borderId="0" xfId="0" applyNumberFormat="1" applyAlignment="1">
      <alignment horizontal="center" vertical="center"/>
    </xf>
    <xf numFmtId="3" fontId="2" fillId="0" borderId="69" xfId="0" applyNumberFormat="1" applyFont="1" applyBorder="1" applyAlignment="1">
      <alignment horizontal="right" vertical="center"/>
    </xf>
    <xf numFmtId="166" fontId="2" fillId="0" borderId="69" xfId="0" applyNumberFormat="1" applyFont="1" applyBorder="1" applyAlignment="1">
      <alignment horizontal="center" vertical="center"/>
    </xf>
    <xf numFmtId="0" fontId="0" fillId="0" borderId="0" xfId="0" applyAlignment="1">
      <alignment vertical="center"/>
    </xf>
    <xf numFmtId="3" fontId="0" fillId="0" borderId="0" xfId="0" applyNumberFormat="1" applyAlignment="1">
      <alignment vertical="center"/>
    </xf>
    <xf numFmtId="2" fontId="0" fillId="0" borderId="0" xfId="0" applyNumberFormat="1" applyAlignment="1">
      <alignment horizontal="right" vertical="center"/>
    </xf>
    <xf numFmtId="3" fontId="22" fillId="0" borderId="69" xfId="0" applyNumberFormat="1" applyFont="1" applyBorder="1" applyAlignment="1">
      <alignment horizontal="right" vertical="center"/>
    </xf>
    <xf numFmtId="166" fontId="22" fillId="0" borderId="68" xfId="0" applyNumberFormat="1" applyFont="1" applyBorder="1" applyAlignment="1">
      <alignment horizontal="center" vertical="center"/>
    </xf>
    <xf numFmtId="3" fontId="22" fillId="0" borderId="66" xfId="0" applyNumberFormat="1" applyFont="1" applyBorder="1" applyAlignment="1">
      <alignment horizontal="right" vertical="center"/>
    </xf>
    <xf numFmtId="171" fontId="22" fillId="0" borderId="64" xfId="0" applyNumberFormat="1" applyFont="1" applyBorder="1" applyAlignment="1">
      <alignment horizontal="center" vertical="center"/>
    </xf>
    <xf numFmtId="3" fontId="22" fillId="0" borderId="67" xfId="0" applyNumberFormat="1" applyFont="1" applyBorder="1" applyAlignment="1">
      <alignment horizontal="right" vertical="center"/>
    </xf>
    <xf numFmtId="166" fontId="22" fillId="0" borderId="67" xfId="0" applyNumberFormat="1" applyFont="1" applyBorder="1" applyAlignment="1">
      <alignment horizontal="center" vertical="center"/>
    </xf>
    <xf numFmtId="2" fontId="21" fillId="0" borderId="65" xfId="0" applyNumberFormat="1" applyFont="1" applyBorder="1" applyAlignment="1">
      <alignment horizontal="right" vertical="center"/>
    </xf>
    <xf numFmtId="0" fontId="0" fillId="0" borderId="69" xfId="0" applyBorder="1" applyAlignment="1">
      <alignment vertical="center"/>
    </xf>
    <xf numFmtId="3" fontId="0" fillId="0" borderId="69" xfId="0" applyNumberFormat="1" applyBorder="1" applyAlignment="1">
      <alignment vertical="center"/>
    </xf>
    <xf numFmtId="2" fontId="0" fillId="0" borderId="69" xfId="0" applyNumberFormat="1" applyBorder="1" applyAlignment="1">
      <alignment horizontal="right" vertical="center"/>
    </xf>
    <xf numFmtId="166" fontId="0" fillId="0" borderId="69" xfId="0" applyNumberFormat="1" applyBorder="1" applyAlignment="1">
      <alignment horizontal="center" vertical="center"/>
    </xf>
    <xf numFmtId="2" fontId="2" fillId="0" borderId="66" xfId="0" applyNumberFormat="1" applyFont="1" applyBorder="1" applyAlignment="1">
      <alignment horizontal="right" vertical="center"/>
    </xf>
    <xf numFmtId="166" fontId="2" fillId="0" borderId="66" xfId="0" applyNumberFormat="1" applyFont="1" applyBorder="1" applyAlignment="1">
      <alignment horizontal="center" vertical="center"/>
    </xf>
    <xf numFmtId="0" fontId="2" fillId="0" borderId="67" xfId="0" applyFont="1" applyBorder="1" applyAlignment="1">
      <alignment vertical="center"/>
    </xf>
    <xf numFmtId="0" fontId="21" fillId="0" borderId="63" xfId="0" applyFont="1" applyBorder="1" applyAlignment="1">
      <alignment vertical="center"/>
    </xf>
    <xf numFmtId="3" fontId="21" fillId="0" borderId="63" xfId="0" applyNumberFormat="1" applyFont="1" applyBorder="1" applyAlignment="1">
      <alignment vertical="center"/>
    </xf>
    <xf numFmtId="2" fontId="21" fillId="0" borderId="63" xfId="0" applyNumberFormat="1" applyFont="1" applyBorder="1" applyAlignment="1">
      <alignment horizontal="right" vertical="center"/>
    </xf>
    <xf numFmtId="166" fontId="21" fillId="0" borderId="63" xfId="0" applyNumberFormat="1" applyFont="1" applyBorder="1" applyAlignment="1">
      <alignment horizontal="center" vertical="center"/>
    </xf>
    <xf numFmtId="3" fontId="21" fillId="26" borderId="63" xfId="0" applyNumberFormat="1" applyFont="1" applyFill="1" applyBorder="1" applyAlignment="1">
      <alignment vertical="center"/>
    </xf>
    <xf numFmtId="2" fontId="21" fillId="26" borderId="63" xfId="0" applyNumberFormat="1" applyFont="1" applyFill="1" applyBorder="1" applyAlignment="1">
      <alignment horizontal="right" vertical="center"/>
    </xf>
    <xf numFmtId="9" fontId="21" fillId="0" borderId="65" xfId="0" applyNumberFormat="1" applyFont="1" applyBorder="1" applyAlignment="1">
      <alignment horizontal="center" vertical="center"/>
    </xf>
    <xf numFmtId="9" fontId="0" fillId="0" borderId="66" xfId="0" applyNumberFormat="1" applyBorder="1" applyAlignment="1">
      <alignment horizontal="center" vertical="center"/>
    </xf>
    <xf numFmtId="9" fontId="0" fillId="0" borderId="69" xfId="0" applyNumberFormat="1" applyBorder="1" applyAlignment="1">
      <alignment horizontal="center" vertical="center"/>
    </xf>
    <xf numFmtId="9" fontId="0" fillId="0" borderId="67" xfId="0" applyNumberFormat="1" applyBorder="1" applyAlignment="1">
      <alignment horizontal="center" vertical="center"/>
    </xf>
    <xf numFmtId="9" fontId="2" fillId="0" borderId="66" xfId="0" applyNumberFormat="1" applyFont="1" applyBorder="1" applyAlignment="1">
      <alignment horizontal="center" vertical="center"/>
    </xf>
    <xf numFmtId="9" fontId="0" fillId="0" borderId="0" xfId="0" applyNumberFormat="1" applyAlignment="1">
      <alignment horizontal="center" vertical="center"/>
    </xf>
    <xf numFmtId="9" fontId="0" fillId="0" borderId="64" xfId="0" applyNumberFormat="1" applyBorder="1" applyAlignment="1">
      <alignment horizontal="center" vertical="center"/>
    </xf>
    <xf numFmtId="9" fontId="2" fillId="0" borderId="0" xfId="0" applyNumberFormat="1" applyFont="1" applyAlignment="1">
      <alignment horizontal="center" vertical="center"/>
    </xf>
    <xf numFmtId="9" fontId="21" fillId="0" borderId="0" xfId="0" applyNumberFormat="1" applyFont="1" applyAlignment="1">
      <alignment horizontal="center" vertical="center"/>
    </xf>
    <xf numFmtId="9" fontId="21" fillId="0" borderId="66" xfId="0" applyNumberFormat="1" applyFont="1" applyBorder="1" applyAlignment="1">
      <alignment horizontal="center" vertical="center"/>
    </xf>
    <xf numFmtId="9" fontId="21" fillId="0" borderId="63" xfId="0" applyNumberFormat="1" applyFont="1" applyBorder="1" applyAlignment="1">
      <alignment horizontal="center" vertical="center"/>
    </xf>
    <xf numFmtId="9" fontId="21" fillId="26" borderId="63" xfId="0" applyNumberFormat="1" applyFont="1" applyFill="1" applyBorder="1" applyAlignment="1">
      <alignment horizontal="center" vertical="center"/>
    </xf>
    <xf numFmtId="9" fontId="21" fillId="0" borderId="62" xfId="0" applyNumberFormat="1" applyFont="1" applyBorder="1" applyAlignment="1">
      <alignment horizontal="center" vertical="center"/>
    </xf>
    <xf numFmtId="0" fontId="16" fillId="0" borderId="57" xfId="79" applyBorder="1" applyAlignment="1">
      <alignment horizontal="left" vertical="top" wrapText="1"/>
    </xf>
    <xf numFmtId="0" fontId="16" fillId="0" borderId="54" xfId="79" applyBorder="1" applyAlignment="1">
      <alignment horizontal="left" vertical="top" wrapText="1"/>
    </xf>
    <xf numFmtId="0" fontId="16" fillId="0" borderId="58" xfId="79" applyBorder="1" applyAlignment="1">
      <alignment horizontal="left" vertical="top" wrapText="1"/>
    </xf>
    <xf numFmtId="0" fontId="21" fillId="0" borderId="53" xfId="79" applyFont="1" applyBorder="1" applyAlignment="1">
      <alignment vertical="center"/>
    </xf>
    <xf numFmtId="0" fontId="21" fillId="0" borderId="50" xfId="79" applyFont="1" applyBorder="1" applyAlignment="1">
      <alignment vertical="center"/>
    </xf>
    <xf numFmtId="0" fontId="22" fillId="24" borderId="59" xfId="79" applyFont="1" applyFill="1" applyBorder="1" applyAlignment="1">
      <alignment horizontal="left" vertical="center"/>
    </xf>
    <xf numFmtId="0" fontId="22" fillId="24" borderId="11" xfId="79" applyFont="1" applyFill="1" applyBorder="1" applyAlignment="1">
      <alignment horizontal="left" vertical="center"/>
    </xf>
    <xf numFmtId="0" fontId="22" fillId="24" borderId="60" xfId="79" applyFont="1" applyFill="1" applyBorder="1" applyAlignment="1">
      <alignment horizontal="lef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1" fillId="25" borderId="30" xfId="0" applyFont="1" applyFill="1" applyBorder="1" applyAlignment="1">
      <alignment horizontal="center" vertical="center" wrapText="1"/>
    </xf>
    <xf numFmtId="0" fontId="21" fillId="25" borderId="31" xfId="0" applyFont="1" applyFill="1" applyBorder="1" applyAlignment="1">
      <alignment horizontal="center" vertical="center" wrapText="1"/>
    </xf>
    <xf numFmtId="0" fontId="21" fillId="25" borderId="32" xfId="0" applyFont="1" applyFill="1" applyBorder="1" applyAlignment="1">
      <alignment horizontal="center" vertical="center" wrapText="1"/>
    </xf>
    <xf numFmtId="0" fontId="21" fillId="24" borderId="28" xfId="0" applyFont="1" applyFill="1" applyBorder="1" applyAlignment="1">
      <alignment horizontal="center" vertical="center"/>
    </xf>
    <xf numFmtId="0" fontId="21" fillId="24" borderId="29" xfId="0" applyFont="1" applyFill="1" applyBorder="1" applyAlignment="1">
      <alignment horizontal="center" vertical="center"/>
    </xf>
    <xf numFmtId="0" fontId="21" fillId="24" borderId="20"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3" fillId="24" borderId="24"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33" xfId="0" applyFont="1" applyFill="1" applyBorder="1" applyAlignment="1">
      <alignment horizontal="center" vertical="center"/>
    </xf>
    <xf numFmtId="0" fontId="23" fillId="24" borderId="34" xfId="0" applyFont="1" applyFill="1" applyBorder="1" applyAlignment="1">
      <alignment horizontal="center" vertical="center"/>
    </xf>
    <xf numFmtId="0" fontId="23" fillId="24" borderId="35"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21" xfId="0" applyFont="1" applyFill="1" applyBorder="1" applyAlignment="1">
      <alignment horizontal="center" vertical="center"/>
    </xf>
    <xf numFmtId="0" fontId="21" fillId="24" borderId="41"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36" xfId="0" applyFont="1" applyFill="1" applyBorder="1" applyAlignment="1">
      <alignment horizontal="center" vertical="center"/>
    </xf>
    <xf numFmtId="0" fontId="21" fillId="24" borderId="42" xfId="0" applyFont="1" applyFill="1" applyBorder="1" applyAlignment="1">
      <alignment horizontal="center" vertical="center"/>
    </xf>
    <xf numFmtId="0" fontId="21" fillId="24" borderId="39" xfId="0" applyFont="1" applyFill="1" applyBorder="1" applyAlignment="1">
      <alignment horizontal="center" vertical="center"/>
    </xf>
    <xf numFmtId="0" fontId="21" fillId="24" borderId="40" xfId="0" applyFont="1" applyFill="1" applyBorder="1" applyAlignment="1">
      <alignment horizontal="center" vertical="center"/>
    </xf>
    <xf numFmtId="0" fontId="21" fillId="24" borderId="37" xfId="0" applyFont="1" applyFill="1" applyBorder="1" applyAlignment="1">
      <alignment horizontal="center" vertical="center"/>
    </xf>
    <xf numFmtId="0" fontId="21" fillId="24" borderId="38" xfId="0" applyFont="1" applyFill="1" applyBorder="1" applyAlignment="1">
      <alignment horizontal="center" vertical="center"/>
    </xf>
    <xf numFmtId="0" fontId="23" fillId="24" borderId="25"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14" xfId="0" applyFont="1" applyFill="1" applyBorder="1" applyAlignment="1">
      <alignment horizontal="center" vertical="center"/>
    </xf>
    <xf numFmtId="0" fontId="21" fillId="24" borderId="27" xfId="0" applyFont="1" applyFill="1" applyBorder="1" applyAlignment="1">
      <alignment horizontal="center" vertical="center"/>
    </xf>
    <xf numFmtId="0" fontId="21" fillId="24" borderId="26" xfId="0" applyFont="1" applyFill="1" applyBorder="1" applyAlignment="1">
      <alignment horizontal="center" vertical="center"/>
    </xf>
    <xf numFmtId="0" fontId="21" fillId="24" borderId="62" xfId="0" applyFont="1" applyFill="1" applyBorder="1" applyAlignment="1">
      <alignment horizontal="center" vertical="center" wrapText="1"/>
    </xf>
    <xf numFmtId="0" fontId="21" fillId="24" borderId="64" xfId="0" applyFont="1" applyFill="1" applyBorder="1" applyAlignment="1">
      <alignment horizontal="center" vertical="center" wrapText="1"/>
    </xf>
    <xf numFmtId="0" fontId="21" fillId="26" borderId="63" xfId="0" applyFont="1" applyFill="1" applyBorder="1" applyAlignment="1">
      <alignment horizontal="left" vertical="center"/>
    </xf>
    <xf numFmtId="0" fontId="21" fillId="24" borderId="62" xfId="0" applyFont="1" applyFill="1" applyBorder="1" applyAlignment="1">
      <alignment horizontal="left" vertical="center" wrapText="1"/>
    </xf>
    <xf numFmtId="0" fontId="21" fillId="24" borderId="64" xfId="0" applyFont="1" applyFill="1" applyBorder="1" applyAlignment="1">
      <alignment horizontal="left" vertical="center" wrapText="1"/>
    </xf>
    <xf numFmtId="0" fontId="21" fillId="24" borderId="63" xfId="0" applyFont="1" applyFill="1" applyBorder="1" applyAlignment="1">
      <alignment horizontal="center" vertical="center"/>
    </xf>
    <xf numFmtId="0" fontId="21" fillId="24" borderId="62" xfId="0" applyFont="1" applyFill="1" applyBorder="1" applyAlignment="1">
      <alignment horizontal="left" vertical="center"/>
    </xf>
    <xf numFmtId="0" fontId="21" fillId="24" borderId="0" xfId="0" applyFont="1" applyFill="1" applyAlignment="1">
      <alignment horizontal="left" vertical="center"/>
    </xf>
    <xf numFmtId="0" fontId="21" fillId="24" borderId="64" xfId="0" applyFont="1" applyFill="1" applyBorder="1" applyAlignment="1">
      <alignment horizontal="left" vertical="center"/>
    </xf>
    <xf numFmtId="0" fontId="21" fillId="24" borderId="63" xfId="0" applyFont="1" applyFill="1" applyBorder="1" applyAlignment="1">
      <alignment horizontal="center" vertical="center" wrapText="1"/>
    </xf>
    <xf numFmtId="0" fontId="22" fillId="0" borderId="0" xfId="0" applyFont="1"/>
    <xf numFmtId="0" fontId="22" fillId="0" borderId="62" xfId="0" applyFont="1" applyBorder="1" applyAlignment="1"/>
  </cellXfs>
  <cellStyles count="11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2 2" xfId="57" xr:uid="{00000000-0005-0000-0000-000038000000}"/>
    <cellStyle name="Comma 2 2 2" xfId="98" xr:uid="{C8CDE784-2A41-40AC-A08B-FA85F20BF484}"/>
    <cellStyle name="Comma 2 3" xfId="58" xr:uid="{00000000-0005-0000-0000-000039000000}"/>
    <cellStyle name="Comma 2 3 2" xfId="99" xr:uid="{8F8FC48C-E010-4B49-8062-00F19E05E2C2}"/>
    <cellStyle name="Comma 2 4" xfId="97" xr:uid="{4E0B96D0-70CB-4804-B684-DE22626FDA90}"/>
    <cellStyle name="Comma 3" xfId="59" xr:uid="{00000000-0005-0000-0000-00003A000000}"/>
    <cellStyle name="Comma 3 2" xfId="100" xr:uid="{4A9B2D11-741A-439B-8146-A99677F996DE}"/>
    <cellStyle name="Comma 4" xfId="60" xr:uid="{00000000-0005-0000-0000-00003B000000}"/>
    <cellStyle name="Comma 4 2" xfId="101" xr:uid="{2AA7A3D1-9472-4B82-95D9-1CA9B348983B}"/>
    <cellStyle name="Comma 5" xfId="109" xr:uid="{F92755A2-68E1-4FCA-A428-C1C6C9563A2C}"/>
    <cellStyle name="Explanatory Text" xfId="61" builtinId="53" customBuiltin="1"/>
    <cellStyle name="Explanatory Text 2" xfId="62" xr:uid="{00000000-0005-0000-0000-00003D000000}"/>
    <cellStyle name="Good" xfId="63" builtinId="26" customBuiltin="1"/>
    <cellStyle name="Good 2" xfId="64" xr:uid="{00000000-0005-0000-0000-00003F000000}"/>
    <cellStyle name="Heading 1" xfId="65" builtinId="16" customBuiltin="1"/>
    <cellStyle name="Heading 1 2" xfId="66" xr:uid="{00000000-0005-0000-0000-000041000000}"/>
    <cellStyle name="Heading 2" xfId="67" builtinId="17" customBuiltin="1"/>
    <cellStyle name="Heading 2 2" xfId="68" xr:uid="{00000000-0005-0000-0000-000043000000}"/>
    <cellStyle name="Heading 3" xfId="69" builtinId="18" customBuiltin="1"/>
    <cellStyle name="Heading 3 2" xfId="70" xr:uid="{00000000-0005-0000-0000-000045000000}"/>
    <cellStyle name="Heading 4" xfId="71" builtinId="19" customBuiltin="1"/>
    <cellStyle name="Heading 4 2" xfId="72" xr:uid="{00000000-0005-0000-0000-000047000000}"/>
    <cellStyle name="Input" xfId="73" builtinId="20" customBuiltin="1"/>
    <cellStyle name="Input 2" xfId="74" xr:uid="{00000000-0005-0000-0000-00004A000000}"/>
    <cellStyle name="Linked Cell" xfId="75" builtinId="24" customBuiltin="1"/>
    <cellStyle name="Linked Cell 2" xfId="76" xr:uid="{00000000-0005-0000-0000-00004C000000}"/>
    <cellStyle name="Neutral" xfId="77" builtinId="28" customBuiltin="1"/>
    <cellStyle name="Neutral 2" xfId="78" xr:uid="{00000000-0005-0000-0000-00004E000000}"/>
    <cellStyle name="Normal" xfId="0" builtinId="0"/>
    <cellStyle name="Normal 2" xfId="79" xr:uid="{00000000-0005-0000-0000-000050000000}"/>
    <cellStyle name="Normal 2 2" xfId="80" xr:uid="{00000000-0005-0000-0000-000051000000}"/>
    <cellStyle name="Normal 2 2 2" xfId="103" xr:uid="{1F31639F-DDD0-483C-BBD6-0DCC9F06FF17}"/>
    <cellStyle name="Normal 2 3" xfId="81" xr:uid="{00000000-0005-0000-0000-000052000000}"/>
    <cellStyle name="Normal 2 4" xfId="82" xr:uid="{00000000-0005-0000-0000-000053000000}"/>
    <cellStyle name="Normal 2 4 2" xfId="104" xr:uid="{CF6A24EA-5E6B-4B5D-AB23-3834F5A82D4F}"/>
    <cellStyle name="Normal 2 5" xfId="102" xr:uid="{11999630-8737-48A7-BD76-5BB1061CA04D}"/>
    <cellStyle name="Normal 3" xfId="83" xr:uid="{00000000-0005-0000-0000-000054000000}"/>
    <cellStyle name="Normal 3 2" xfId="84" xr:uid="{00000000-0005-0000-0000-000055000000}"/>
    <cellStyle name="Normal 3 2 2" xfId="106" xr:uid="{BC63BB93-2CC7-4169-A9EF-A40E2764F833}"/>
    <cellStyle name="Normal 3 3" xfId="105" xr:uid="{0950D2DF-F393-4DC7-B953-85A545A039E3}"/>
    <cellStyle name="Normal 4" xfId="85" xr:uid="{00000000-0005-0000-0000-000056000000}"/>
    <cellStyle name="Note" xfId="86" builtinId="10" customBuiltin="1"/>
    <cellStyle name="Note 2" xfId="87" xr:uid="{00000000-0005-0000-0000-000058000000}"/>
    <cellStyle name="Note 2 2" xfId="107" xr:uid="{AC1371BF-0E93-4D57-9AD3-2044334B5089}"/>
    <cellStyle name="Output" xfId="88" builtinId="21" customBuiltin="1"/>
    <cellStyle name="Output 2" xfId="89" xr:uid="{00000000-0005-0000-0000-00005A000000}"/>
    <cellStyle name="Percent 2" xfId="90" xr:uid="{00000000-0005-0000-0000-00005B000000}"/>
    <cellStyle name="Percent 2 2" xfId="108" xr:uid="{3590F872-3210-4A80-A312-DC0B2EA62BB0}"/>
    <cellStyle name="Title" xfId="91" builtinId="15" customBuiltin="1"/>
    <cellStyle name="Title 2" xfId="92" xr:uid="{00000000-0005-0000-0000-00005D000000}"/>
    <cellStyle name="Total" xfId="93" builtinId="25" customBuiltin="1"/>
    <cellStyle name="Total 2" xfId="94" xr:uid="{00000000-0005-0000-0000-00005F000000}"/>
    <cellStyle name="Warning Text" xfId="95" builtinId="11" customBuiltin="1"/>
    <cellStyle name="Warning Text 2" xfId="96" xr:uid="{00000000-0005-0000-0000-00006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FFFFF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FFFFFF"/>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31"/>
  <sheetViews>
    <sheetView topLeftCell="A16" workbookViewId="0">
      <selection activeCell="D25" sqref="D25"/>
    </sheetView>
  </sheetViews>
  <sheetFormatPr defaultRowHeight="15.75" x14ac:dyDescent="0.25"/>
  <cols>
    <col min="1" max="16384" width="9" style="7"/>
  </cols>
  <sheetData>
    <row r="2" spans="2:15" ht="15.75" customHeight="1" x14ac:dyDescent="0.3">
      <c r="B2" s="36" t="s">
        <v>1352</v>
      </c>
      <c r="C2" s="37"/>
      <c r="D2" s="37"/>
      <c r="E2" s="37"/>
      <c r="F2" s="37"/>
      <c r="G2" s="37"/>
      <c r="H2" s="37"/>
      <c r="I2" s="37"/>
      <c r="J2" s="37"/>
      <c r="K2" s="37"/>
      <c r="L2" s="37"/>
      <c r="M2" s="37"/>
      <c r="N2" s="37"/>
      <c r="O2" s="38"/>
    </row>
    <row r="3" spans="2:15" x14ac:dyDescent="0.25">
      <c r="C3" s="8"/>
    </row>
    <row r="4" spans="2:15" ht="18.75" x14ac:dyDescent="0.25">
      <c r="C4" s="9" t="s">
        <v>590</v>
      </c>
    </row>
    <row r="5" spans="2:15" ht="23.25" customHeight="1" x14ac:dyDescent="0.25">
      <c r="C5" s="35" t="s">
        <v>24</v>
      </c>
      <c r="D5" s="241" t="s">
        <v>588</v>
      </c>
      <c r="E5" s="242"/>
      <c r="F5" s="242"/>
      <c r="G5" s="242"/>
      <c r="H5" s="242"/>
      <c r="I5" s="242"/>
      <c r="J5" s="242"/>
      <c r="K5" s="242"/>
      <c r="L5" s="242"/>
      <c r="M5" s="242"/>
      <c r="N5" s="243"/>
    </row>
    <row r="6" spans="2:15" x14ac:dyDescent="0.25">
      <c r="C6" s="21"/>
      <c r="D6" s="15" t="s">
        <v>532</v>
      </c>
      <c r="E6" s="15"/>
      <c r="F6" s="15"/>
      <c r="G6" s="15"/>
      <c r="H6" s="15"/>
      <c r="I6" s="15"/>
      <c r="J6" s="15"/>
      <c r="K6" s="15"/>
      <c r="L6" s="15"/>
      <c r="M6" s="15"/>
      <c r="N6" s="15"/>
    </row>
    <row r="7" spans="2:15" x14ac:dyDescent="0.25">
      <c r="C7" s="8" t="s">
        <v>525</v>
      </c>
      <c r="D7" s="13" t="s">
        <v>533</v>
      </c>
      <c r="E7" s="13"/>
      <c r="F7" s="13"/>
      <c r="G7" s="13"/>
      <c r="H7" s="13"/>
      <c r="I7" s="13"/>
      <c r="J7" s="13"/>
      <c r="K7" s="13"/>
      <c r="L7" s="13"/>
      <c r="M7" s="13"/>
      <c r="N7" s="13"/>
    </row>
    <row r="8" spans="2:15" x14ac:dyDescent="0.25">
      <c r="C8" s="27"/>
      <c r="D8" s="28" t="s">
        <v>586</v>
      </c>
      <c r="E8" s="28"/>
      <c r="F8" s="28"/>
      <c r="G8" s="28"/>
      <c r="H8" s="28"/>
      <c r="I8" s="28"/>
      <c r="J8" s="28"/>
      <c r="K8" s="28"/>
      <c r="L8" s="28"/>
      <c r="M8" s="28"/>
      <c r="N8" s="28"/>
    </row>
    <row r="9" spans="2:15" x14ac:dyDescent="0.25">
      <c r="C9" s="22"/>
      <c r="D9" s="18" t="s">
        <v>534</v>
      </c>
      <c r="E9" s="18"/>
      <c r="F9" s="18"/>
      <c r="G9" s="18"/>
      <c r="H9" s="18"/>
      <c r="I9" s="18"/>
      <c r="J9" s="18"/>
      <c r="K9" s="18"/>
      <c r="L9" s="18"/>
      <c r="M9" s="18"/>
      <c r="N9" s="18"/>
    </row>
    <row r="10" spans="2:15" x14ac:dyDescent="0.25">
      <c r="C10" s="26" t="s">
        <v>618</v>
      </c>
      <c r="D10" s="18" t="s">
        <v>619</v>
      </c>
      <c r="E10" s="18"/>
      <c r="F10" s="18"/>
      <c r="G10" s="18"/>
      <c r="H10" s="18"/>
      <c r="I10" s="18"/>
      <c r="J10" s="18"/>
      <c r="K10" s="18"/>
      <c r="L10" s="18"/>
      <c r="M10" s="18"/>
      <c r="N10" s="18"/>
    </row>
    <row r="11" spans="2:15" x14ac:dyDescent="0.25">
      <c r="C11" s="23" t="s">
        <v>617</v>
      </c>
      <c r="D11" s="18" t="s">
        <v>535</v>
      </c>
      <c r="E11" s="18"/>
      <c r="F11" s="18"/>
      <c r="G11" s="18"/>
      <c r="H11" s="18"/>
      <c r="I11" s="18"/>
      <c r="J11" s="18"/>
      <c r="K11" s="18"/>
      <c r="L11" s="18"/>
      <c r="M11" s="18"/>
      <c r="N11" s="18"/>
    </row>
    <row r="12" spans="2:15" x14ac:dyDescent="0.25">
      <c r="C12" s="23" t="s">
        <v>527</v>
      </c>
      <c r="D12" s="18" t="s">
        <v>536</v>
      </c>
      <c r="E12" s="18"/>
      <c r="F12" s="18"/>
      <c r="G12" s="18"/>
      <c r="H12" s="18"/>
      <c r="I12" s="18"/>
      <c r="J12" s="18"/>
      <c r="K12" s="18"/>
      <c r="L12" s="18"/>
      <c r="M12" s="18"/>
      <c r="N12" s="18"/>
    </row>
    <row r="13" spans="2:15" x14ac:dyDescent="0.25">
      <c r="C13" s="24"/>
      <c r="D13" s="14" t="s">
        <v>537</v>
      </c>
      <c r="E13" s="13"/>
      <c r="F13" s="13"/>
      <c r="G13" s="13"/>
      <c r="H13" s="13"/>
      <c r="I13" s="13"/>
      <c r="J13" s="13"/>
      <c r="K13" s="13"/>
      <c r="L13" s="13"/>
      <c r="M13" s="13"/>
      <c r="N13" s="13"/>
    </row>
    <row r="14" spans="2:15" x14ac:dyDescent="0.25">
      <c r="C14" s="8" t="s">
        <v>520</v>
      </c>
      <c r="D14" s="13" t="s">
        <v>538</v>
      </c>
      <c r="E14" s="13"/>
      <c r="F14" s="13"/>
      <c r="G14" s="13"/>
      <c r="H14" s="13"/>
      <c r="I14" s="13"/>
      <c r="J14" s="13"/>
      <c r="K14" s="13"/>
      <c r="L14" s="13"/>
      <c r="M14" s="13"/>
      <c r="N14" s="13"/>
    </row>
    <row r="15" spans="2:15" x14ac:dyDescent="0.25">
      <c r="C15" s="27"/>
      <c r="D15" s="28" t="s">
        <v>620</v>
      </c>
      <c r="E15" s="28"/>
      <c r="F15" s="28"/>
      <c r="G15" s="28"/>
      <c r="H15" s="28"/>
      <c r="I15" s="28"/>
      <c r="J15" s="28"/>
      <c r="K15" s="28"/>
      <c r="L15" s="28"/>
      <c r="M15" s="28"/>
      <c r="N15" s="28"/>
    </row>
    <row r="16" spans="2:15" x14ac:dyDescent="0.25">
      <c r="C16" s="22"/>
      <c r="D16" s="18" t="s">
        <v>539</v>
      </c>
      <c r="E16" s="18"/>
      <c r="F16" s="18"/>
      <c r="G16" s="18"/>
      <c r="H16" s="18"/>
      <c r="I16" s="18"/>
      <c r="J16" s="18"/>
      <c r="K16" s="18"/>
      <c r="L16" s="18"/>
      <c r="M16" s="18"/>
      <c r="N16" s="18"/>
    </row>
    <row r="17" spans="3:15" x14ac:dyDescent="0.25">
      <c r="C17" s="25" t="s">
        <v>540</v>
      </c>
      <c r="D17" s="17" t="s">
        <v>1131</v>
      </c>
      <c r="E17" s="17"/>
      <c r="F17" s="17"/>
      <c r="G17" s="17"/>
      <c r="H17" s="17"/>
      <c r="I17" s="17"/>
      <c r="J17" s="17"/>
      <c r="K17" s="17"/>
      <c r="L17" s="17"/>
      <c r="M17" s="17"/>
      <c r="N17" s="17"/>
    </row>
    <row r="18" spans="3:15" ht="3.75" customHeight="1" x14ac:dyDescent="0.25">
      <c r="C18" s="10"/>
      <c r="D18" s="10"/>
      <c r="E18" s="10"/>
      <c r="F18" s="10"/>
      <c r="G18" s="10"/>
      <c r="H18" s="10"/>
      <c r="I18" s="10"/>
      <c r="J18" s="10"/>
      <c r="K18" s="10"/>
      <c r="L18" s="10"/>
      <c r="M18" s="10"/>
      <c r="N18" s="10"/>
    </row>
    <row r="19" spans="3:15" ht="24" customHeight="1" x14ac:dyDescent="0.25">
      <c r="C19" s="35" t="s">
        <v>24</v>
      </c>
      <c r="D19" s="241" t="s">
        <v>1132</v>
      </c>
      <c r="E19" s="242"/>
      <c r="F19" s="242"/>
      <c r="G19" s="242"/>
      <c r="H19" s="242"/>
      <c r="I19" s="242"/>
      <c r="J19" s="242"/>
      <c r="K19" s="242"/>
      <c r="L19" s="242"/>
      <c r="M19" s="242"/>
      <c r="N19" s="243"/>
    </row>
    <row r="20" spans="3:15" x14ac:dyDescent="0.25">
      <c r="C20" s="21" t="s">
        <v>525</v>
      </c>
      <c r="D20" s="16" t="s">
        <v>25</v>
      </c>
      <c r="E20" s="15"/>
      <c r="F20" s="15"/>
      <c r="G20" s="15"/>
      <c r="H20" s="15"/>
      <c r="I20" s="15"/>
      <c r="J20" s="15"/>
      <c r="K20" s="15"/>
      <c r="L20" s="15"/>
      <c r="M20" s="15"/>
      <c r="N20" s="15"/>
    </row>
    <row r="21" spans="3:15" x14ac:dyDescent="0.25">
      <c r="C21" s="8" t="s">
        <v>563</v>
      </c>
      <c r="D21" s="13" t="s">
        <v>542</v>
      </c>
      <c r="E21" s="13"/>
      <c r="F21" s="13"/>
      <c r="G21" s="13"/>
      <c r="H21" s="13"/>
      <c r="I21" s="13"/>
      <c r="J21" s="13"/>
      <c r="K21" s="13"/>
      <c r="L21" s="13"/>
      <c r="M21" s="13"/>
      <c r="N21" s="13"/>
    </row>
    <row r="22" spans="3:15" x14ac:dyDescent="0.25">
      <c r="C22" s="22" t="s">
        <v>564</v>
      </c>
      <c r="D22" s="18" t="s">
        <v>543</v>
      </c>
      <c r="E22" s="18"/>
      <c r="F22" s="18"/>
      <c r="G22" s="18"/>
      <c r="H22" s="18"/>
      <c r="I22" s="18"/>
      <c r="J22" s="18"/>
      <c r="K22" s="18"/>
      <c r="L22" s="18"/>
      <c r="M22" s="18"/>
      <c r="N22" s="18"/>
    </row>
    <row r="23" spans="3:15" x14ac:dyDescent="0.25">
      <c r="C23" s="26" t="s">
        <v>526</v>
      </c>
      <c r="D23" s="19" t="s">
        <v>1065</v>
      </c>
      <c r="E23" s="19"/>
      <c r="F23" s="19"/>
      <c r="G23" s="19"/>
      <c r="H23" s="19"/>
      <c r="I23" s="19"/>
      <c r="J23" s="19"/>
      <c r="K23" s="19"/>
      <c r="L23" s="19"/>
      <c r="M23" s="19"/>
      <c r="N23" s="19"/>
    </row>
    <row r="24" spans="3:15" x14ac:dyDescent="0.25">
      <c r="C24" s="26" t="s">
        <v>527</v>
      </c>
      <c r="D24" s="19" t="s">
        <v>1066</v>
      </c>
      <c r="E24" s="19"/>
      <c r="F24" s="19"/>
      <c r="G24" s="19"/>
      <c r="H24" s="19"/>
      <c r="I24" s="19"/>
      <c r="J24" s="19"/>
      <c r="K24" s="19"/>
      <c r="L24" s="19"/>
      <c r="M24" s="19"/>
      <c r="N24" s="19"/>
    </row>
    <row r="25" spans="3:15" x14ac:dyDescent="0.25">
      <c r="C25" s="239" t="s">
        <v>520</v>
      </c>
      <c r="D25" s="42" t="s">
        <v>544</v>
      </c>
      <c r="E25" s="15"/>
      <c r="F25" s="15"/>
      <c r="G25" s="15"/>
      <c r="H25" s="15"/>
      <c r="I25" s="15"/>
      <c r="J25" s="15"/>
      <c r="K25" s="15"/>
      <c r="L25" s="15"/>
      <c r="M25" s="15"/>
      <c r="N25" s="15"/>
    </row>
    <row r="26" spans="3:15" x14ac:dyDescent="0.25">
      <c r="C26" s="240"/>
      <c r="D26" s="20" t="s">
        <v>545</v>
      </c>
      <c r="E26" s="18"/>
      <c r="F26" s="18"/>
      <c r="G26" s="18"/>
      <c r="H26" s="18"/>
      <c r="I26" s="18"/>
      <c r="J26" s="18"/>
      <c r="K26" s="18"/>
      <c r="L26" s="18"/>
      <c r="M26" s="18"/>
      <c r="N26" s="18"/>
    </row>
    <row r="27" spans="3:15" x14ac:dyDescent="0.25">
      <c r="C27" s="25" t="s">
        <v>540</v>
      </c>
      <c r="D27" s="17" t="s">
        <v>1131</v>
      </c>
      <c r="E27" s="17"/>
      <c r="F27" s="17"/>
      <c r="G27" s="17"/>
      <c r="H27" s="17"/>
      <c r="I27" s="17"/>
      <c r="J27" s="17"/>
      <c r="K27" s="17"/>
      <c r="L27" s="17"/>
      <c r="M27" s="17"/>
      <c r="N27" s="17"/>
    </row>
    <row r="28" spans="3:15" x14ac:dyDescent="0.25">
      <c r="C28" s="11" t="s">
        <v>541</v>
      </c>
      <c r="D28" s="12"/>
      <c r="E28" s="12"/>
      <c r="F28" s="12"/>
      <c r="G28" s="12"/>
      <c r="H28" s="12"/>
      <c r="I28" s="12"/>
      <c r="J28" s="12"/>
      <c r="K28" s="12"/>
      <c r="L28" s="12"/>
      <c r="M28" s="12"/>
      <c r="N28" s="12"/>
    </row>
    <row r="29" spans="3:15" x14ac:dyDescent="0.25">
      <c r="C29" s="30" t="s">
        <v>591</v>
      </c>
    </row>
    <row r="31" spans="3:15" ht="131.25" customHeight="1" x14ac:dyDescent="0.25">
      <c r="C31" s="31" t="s">
        <v>589</v>
      </c>
      <c r="D31" s="236" t="s">
        <v>1130</v>
      </c>
      <c r="E31" s="237"/>
      <c r="F31" s="237"/>
      <c r="G31" s="237"/>
      <c r="H31" s="237"/>
      <c r="I31" s="237"/>
      <c r="J31" s="237"/>
      <c r="K31" s="237"/>
      <c r="L31" s="237"/>
      <c r="M31" s="237"/>
      <c r="N31" s="237"/>
      <c r="O31" s="238"/>
    </row>
  </sheetData>
  <mergeCells count="4">
    <mergeCell ref="D31:O31"/>
    <mergeCell ref="C25:C26"/>
    <mergeCell ref="D5:N5"/>
    <mergeCell ref="D19:N19"/>
  </mergeCell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2:AB321"/>
  <sheetViews>
    <sheetView topLeftCell="C1" zoomScale="80" zoomScaleNormal="80" workbookViewId="0">
      <pane ySplit="7" topLeftCell="A173" activePane="bottomLeft" state="frozen"/>
      <selection activeCell="B3" sqref="B3:J27"/>
      <selection pane="bottomLeft" activeCell="X191" sqref="X191"/>
    </sheetView>
  </sheetViews>
  <sheetFormatPr defaultRowHeight="15.75" customHeight="1" x14ac:dyDescent="0.25"/>
  <cols>
    <col min="1" max="1" width="12.5" bestFit="1" customWidth="1"/>
    <col min="2" max="2" width="10.625" customWidth="1"/>
    <col min="3" max="3" width="21.625" customWidth="1"/>
    <col min="4" max="4" width="9" customWidth="1"/>
    <col min="5" max="5" width="21.125" customWidth="1"/>
    <col min="6" max="6" width="5.375" customWidth="1"/>
    <col min="7" max="7" width="19.875" customWidth="1"/>
    <col min="8" max="8" width="5.25" customWidth="1"/>
    <col min="9" max="9" width="10.375" customWidth="1"/>
    <col min="10" max="10" width="9.625" customWidth="1"/>
    <col min="11" max="12" width="10.375" customWidth="1"/>
    <col min="13" max="14" width="12" customWidth="1"/>
    <col min="15" max="15" width="10.25" customWidth="1"/>
    <col min="16" max="16" width="16.25" customWidth="1"/>
    <col min="17" max="17" width="14.375" customWidth="1"/>
    <col min="18" max="18" width="9" customWidth="1"/>
    <col min="19" max="19" width="15" customWidth="1"/>
    <col min="20" max="20" width="12.875" customWidth="1"/>
    <col min="21" max="21" width="20.125" customWidth="1"/>
    <col min="22" max="22" width="19.25" customWidth="1"/>
    <col min="23" max="23" width="17.375" customWidth="1"/>
    <col min="24" max="24" width="9" customWidth="1"/>
  </cols>
  <sheetData>
    <row r="2" spans="1:24" ht="15.75" customHeight="1" thickBot="1" x14ac:dyDescent="0.3"/>
    <row r="3" spans="1:24" ht="15.75" customHeight="1" thickTop="1" x14ac:dyDescent="0.25">
      <c r="B3" s="244" t="s">
        <v>476</v>
      </c>
      <c r="C3" s="247" t="s">
        <v>477</v>
      </c>
      <c r="D3" s="247" t="s">
        <v>478</v>
      </c>
      <c r="E3" s="250" t="s">
        <v>1631</v>
      </c>
      <c r="F3" s="4"/>
      <c r="G3" s="253" t="s">
        <v>1351</v>
      </c>
      <c r="H3" s="6"/>
      <c r="I3" s="260" t="s">
        <v>27</v>
      </c>
      <c r="J3" s="261"/>
      <c r="K3" s="261"/>
      <c r="L3" s="261"/>
      <c r="M3" s="261"/>
      <c r="N3" s="261"/>
      <c r="O3" s="261"/>
      <c r="P3" s="261"/>
      <c r="Q3" s="261"/>
      <c r="R3" s="261"/>
      <c r="S3" s="261"/>
      <c r="T3" s="261"/>
      <c r="U3" s="261"/>
      <c r="V3" s="261"/>
      <c r="W3" s="262"/>
      <c r="X3" s="1"/>
    </row>
    <row r="4" spans="1:24" ht="15.75" customHeight="1" x14ac:dyDescent="0.25">
      <c r="B4" s="245"/>
      <c r="C4" s="248"/>
      <c r="D4" s="248"/>
      <c r="E4" s="251"/>
      <c r="F4" s="4"/>
      <c r="G4" s="254"/>
      <c r="H4" s="6"/>
      <c r="I4" s="263"/>
      <c r="J4" s="264"/>
      <c r="K4" s="264"/>
      <c r="L4" s="264"/>
      <c r="M4" s="264"/>
      <c r="N4" s="264"/>
      <c r="O4" s="264"/>
      <c r="P4" s="264"/>
      <c r="Q4" s="264"/>
      <c r="R4" s="264"/>
      <c r="S4" s="264"/>
      <c r="T4" s="264"/>
      <c r="U4" s="264"/>
      <c r="V4" s="264"/>
      <c r="W4" s="265"/>
      <c r="X4" s="1"/>
    </row>
    <row r="5" spans="1:24" ht="23.25" customHeight="1" x14ac:dyDescent="0.25">
      <c r="B5" s="245"/>
      <c r="C5" s="248"/>
      <c r="D5" s="248"/>
      <c r="E5" s="251"/>
      <c r="F5" s="4"/>
      <c r="G5" s="254"/>
      <c r="H5" s="6"/>
      <c r="I5" s="268" t="s">
        <v>485</v>
      </c>
      <c r="J5" s="269"/>
      <c r="K5" s="270"/>
      <c r="L5" s="271" t="s">
        <v>512</v>
      </c>
      <c r="M5" s="269"/>
      <c r="N5" s="270"/>
      <c r="O5" s="258" t="s">
        <v>944</v>
      </c>
      <c r="P5" s="258" t="s">
        <v>687</v>
      </c>
      <c r="Q5" s="258" t="s">
        <v>688</v>
      </c>
      <c r="R5" s="258" t="s">
        <v>689</v>
      </c>
      <c r="S5" s="258" t="s">
        <v>690</v>
      </c>
      <c r="T5" s="266" t="s">
        <v>486</v>
      </c>
      <c r="U5" s="266" t="s">
        <v>8</v>
      </c>
      <c r="V5" s="266" t="s">
        <v>505</v>
      </c>
      <c r="W5" s="256" t="s">
        <v>6</v>
      </c>
      <c r="X5" s="1"/>
    </row>
    <row r="6" spans="1:24" ht="23.25" customHeight="1" thickBot="1" x14ac:dyDescent="0.3">
      <c r="B6" s="246"/>
      <c r="C6" s="249"/>
      <c r="D6" s="249"/>
      <c r="E6" s="252"/>
      <c r="F6" s="4"/>
      <c r="G6" s="255"/>
      <c r="H6" s="6"/>
      <c r="I6" s="33" t="s">
        <v>487</v>
      </c>
      <c r="J6" s="63" t="s">
        <v>488</v>
      </c>
      <c r="K6" s="63" t="s">
        <v>489</v>
      </c>
      <c r="L6" s="34" t="s">
        <v>487</v>
      </c>
      <c r="M6" s="63" t="s">
        <v>488</v>
      </c>
      <c r="N6" s="63" t="s">
        <v>489</v>
      </c>
      <c r="O6" s="259"/>
      <c r="P6" s="259"/>
      <c r="Q6" s="259"/>
      <c r="R6" s="259"/>
      <c r="S6" s="259"/>
      <c r="T6" s="267"/>
      <c r="U6" s="267"/>
      <c r="V6" s="267"/>
      <c r="W6" s="257"/>
      <c r="X6" s="1"/>
    </row>
    <row r="7" spans="1:24" ht="15.75" customHeight="1" thickTop="1" x14ac:dyDescent="0.25"/>
    <row r="8" spans="1:24" s="29" customFormat="1" ht="15.75" customHeight="1" x14ac:dyDescent="0.25">
      <c r="A8"/>
    </row>
    <row r="9" spans="1:24" s="29" customFormat="1" ht="15.75" customHeight="1" x14ac:dyDescent="0.25">
      <c r="A9"/>
      <c r="L9" s="29" t="s">
        <v>508</v>
      </c>
      <c r="M9" s="29" t="s">
        <v>508</v>
      </c>
      <c r="N9" s="29" t="s">
        <v>508</v>
      </c>
    </row>
    <row r="10" spans="1:24" s="29" customFormat="1" ht="15.75" customHeight="1" x14ac:dyDescent="0.25">
      <c r="A10"/>
      <c r="B10" s="56" t="s">
        <v>28</v>
      </c>
      <c r="C10" s="56" t="s">
        <v>1641</v>
      </c>
      <c r="D10" s="56" t="s">
        <v>31</v>
      </c>
      <c r="E10" s="56" t="s">
        <v>32</v>
      </c>
      <c r="F10" s="56"/>
      <c r="G10" s="68">
        <v>29745.32</v>
      </c>
      <c r="H10" s="68"/>
      <c r="I10" s="69">
        <f>100*10000/(23069.985*1000)</f>
        <v>4.3346365418096285E-2</v>
      </c>
      <c r="J10" s="69">
        <f>100*49167/(23069.985*1000)</f>
        <v>0.213121074851154</v>
      </c>
      <c r="K10" s="69">
        <f>100*120000/(23069.985*1000)</f>
        <v>0.52015638501715544</v>
      </c>
      <c r="L10" s="70">
        <v>10000</v>
      </c>
      <c r="M10" s="70">
        <v>49167</v>
      </c>
      <c r="N10" s="70">
        <v>120000</v>
      </c>
      <c r="O10" s="56">
        <v>2011</v>
      </c>
      <c r="P10" s="56" t="s">
        <v>691</v>
      </c>
      <c r="Q10" s="56" t="s">
        <v>692</v>
      </c>
      <c r="R10" s="56" t="s">
        <v>693</v>
      </c>
      <c r="S10" s="56" t="s">
        <v>694</v>
      </c>
      <c r="T10" s="66" t="s">
        <v>9</v>
      </c>
      <c r="U10" s="66" t="s">
        <v>894</v>
      </c>
      <c r="V10" s="66" t="s">
        <v>10</v>
      </c>
      <c r="W10" s="66" t="s">
        <v>773</v>
      </c>
    </row>
    <row r="11" spans="1:24" s="29" customFormat="1" ht="15.75" customHeight="1" x14ac:dyDescent="0.25">
      <c r="A11"/>
      <c r="B11" s="56" t="s">
        <v>28</v>
      </c>
      <c r="C11" s="56" t="s">
        <v>1641</v>
      </c>
      <c r="D11" s="56" t="s">
        <v>33</v>
      </c>
      <c r="E11" s="56" t="s">
        <v>34</v>
      </c>
      <c r="F11" s="56"/>
      <c r="G11" s="68">
        <v>14797.53</v>
      </c>
      <c r="H11" s="68"/>
      <c r="I11" s="69"/>
      <c r="J11" s="69">
        <f>100*M11/(12134.648*1000)</f>
        <v>0.11903929969785691</v>
      </c>
      <c r="K11" s="69"/>
      <c r="L11" s="70"/>
      <c r="M11" s="70">
        <v>14445</v>
      </c>
      <c r="N11" s="70"/>
      <c r="O11" s="56">
        <v>2012</v>
      </c>
      <c r="P11" s="56" t="s">
        <v>695</v>
      </c>
      <c r="Q11" s="56" t="s">
        <v>696</v>
      </c>
      <c r="R11" s="56" t="s">
        <v>693</v>
      </c>
      <c r="S11" s="56" t="s">
        <v>635</v>
      </c>
      <c r="T11" s="66" t="s">
        <v>633</v>
      </c>
      <c r="U11" s="66" t="s">
        <v>895</v>
      </c>
      <c r="V11" s="66" t="s">
        <v>634</v>
      </c>
      <c r="W11" s="66" t="s">
        <v>896</v>
      </c>
    </row>
    <row r="12" spans="1:24" s="29" customFormat="1" ht="15.75" customHeight="1" x14ac:dyDescent="0.25">
      <c r="A12"/>
      <c r="B12" s="56" t="s">
        <v>28</v>
      </c>
      <c r="C12" s="56" t="s">
        <v>1641</v>
      </c>
      <c r="D12" s="56" t="s">
        <v>35</v>
      </c>
      <c r="E12" s="56" t="s">
        <v>36</v>
      </c>
      <c r="F12" s="56"/>
      <c r="G12" s="68">
        <v>896.31</v>
      </c>
      <c r="H12" s="68"/>
      <c r="I12" s="69">
        <f>100*L12/(896.307*1000)</f>
        <v>0.5587371291309785</v>
      </c>
      <c r="J12" s="69">
        <f>100*M12/(896.307*1000)</f>
        <v>0.67064075143896007</v>
      </c>
      <c r="K12" s="69">
        <f>100*N12/(896.307*1000)</f>
        <v>0.83275038574952553</v>
      </c>
      <c r="L12" s="70">
        <v>5008</v>
      </c>
      <c r="M12" s="70">
        <v>6011</v>
      </c>
      <c r="N12" s="70">
        <v>7464</v>
      </c>
      <c r="O12" s="56">
        <v>2017</v>
      </c>
      <c r="P12" s="56"/>
      <c r="Q12" s="56"/>
      <c r="R12" s="56" t="s">
        <v>693</v>
      </c>
      <c r="S12" s="56" t="s">
        <v>1386</v>
      </c>
      <c r="T12" s="66" t="s">
        <v>19</v>
      </c>
      <c r="U12" s="66" t="s">
        <v>1388</v>
      </c>
      <c r="V12" s="66" t="s">
        <v>1387</v>
      </c>
      <c r="W12" s="66"/>
    </row>
    <row r="13" spans="1:24" s="29" customFormat="1" ht="15.75" customHeight="1" x14ac:dyDescent="0.25">
      <c r="A13"/>
      <c r="B13" s="56" t="s">
        <v>28</v>
      </c>
      <c r="C13" s="56" t="s">
        <v>1641</v>
      </c>
      <c r="D13" s="56" t="s">
        <v>49</v>
      </c>
      <c r="E13" s="56" t="s">
        <v>50</v>
      </c>
      <c r="F13" s="56"/>
      <c r="G13" s="68">
        <v>7022.73</v>
      </c>
      <c r="H13" s="68"/>
      <c r="I13" s="69">
        <f>100*L13/(5796.009*1000)</f>
        <v>1.7253251332080403E-3</v>
      </c>
      <c r="J13" s="69"/>
      <c r="K13" s="69">
        <f>100*N13/(5796.009*1000)</f>
        <v>2.0703901598496482E-2</v>
      </c>
      <c r="L13" s="70">
        <v>100</v>
      </c>
      <c r="M13" s="70"/>
      <c r="N13" s="70">
        <v>1200</v>
      </c>
      <c r="O13" s="56">
        <v>2011</v>
      </c>
      <c r="P13" s="56" t="s">
        <v>691</v>
      </c>
      <c r="Q13" s="56" t="s">
        <v>696</v>
      </c>
      <c r="R13" s="56" t="s">
        <v>693</v>
      </c>
      <c r="S13" s="56" t="s">
        <v>698</v>
      </c>
      <c r="T13" s="66" t="s">
        <v>19</v>
      </c>
      <c r="U13" s="66" t="s">
        <v>735</v>
      </c>
      <c r="V13" s="66" t="s">
        <v>584</v>
      </c>
      <c r="W13" s="66" t="s">
        <v>774</v>
      </c>
    </row>
    <row r="14" spans="1:24" s="29" customFormat="1" ht="15.75" customHeight="1" x14ac:dyDescent="0.25">
      <c r="A14"/>
      <c r="B14" s="56" t="s">
        <v>28</v>
      </c>
      <c r="C14" s="56" t="s">
        <v>1641</v>
      </c>
      <c r="D14" s="56" t="s">
        <v>37</v>
      </c>
      <c r="E14" s="56" t="s">
        <v>38</v>
      </c>
      <c r="F14" s="56"/>
      <c r="G14" s="68">
        <v>66.77</v>
      </c>
      <c r="H14" s="68"/>
      <c r="I14" s="69">
        <f>100*L14/(66.773*1000)</f>
        <v>2.5878723436119389</v>
      </c>
      <c r="J14" s="69">
        <f>100*M14/(66.773*1000)</f>
        <v>3.2108786485555538</v>
      </c>
      <c r="K14" s="69">
        <f>100*N14/(66.773*1000)</f>
        <v>3.8338849534991688</v>
      </c>
      <c r="L14" s="70">
        <v>1728</v>
      </c>
      <c r="M14" s="70">
        <v>2144</v>
      </c>
      <c r="N14" s="70">
        <v>2560</v>
      </c>
      <c r="O14" s="56">
        <v>2017</v>
      </c>
      <c r="P14" s="56" t="s">
        <v>1153</v>
      </c>
      <c r="Q14" s="56" t="s">
        <v>696</v>
      </c>
      <c r="R14" s="56" t="s">
        <v>693</v>
      </c>
      <c r="S14" s="56" t="s">
        <v>1152</v>
      </c>
      <c r="T14" s="66" t="s">
        <v>1062</v>
      </c>
      <c r="U14" s="66" t="s">
        <v>1154</v>
      </c>
      <c r="V14" s="66" t="s">
        <v>1151</v>
      </c>
      <c r="W14" s="66" t="s">
        <v>1394</v>
      </c>
    </row>
    <row r="15" spans="1:24" s="29" customFormat="1" ht="15.75" customHeight="1" x14ac:dyDescent="0.25">
      <c r="A15"/>
      <c r="B15" s="56" t="s">
        <v>28</v>
      </c>
      <c r="C15" s="56" t="s">
        <v>1641</v>
      </c>
      <c r="D15" s="56" t="s">
        <v>949</v>
      </c>
      <c r="E15" s="56" t="s">
        <v>3</v>
      </c>
      <c r="F15" s="56"/>
      <c r="G15" s="68">
        <v>6012.77</v>
      </c>
      <c r="H15" s="68"/>
      <c r="I15" s="69"/>
      <c r="J15" s="69">
        <f>100*M15/(6012.766*1000)</f>
        <v>0.28439490244589594</v>
      </c>
      <c r="K15" s="69"/>
      <c r="L15" s="70"/>
      <c r="M15" s="56">
        <v>17100</v>
      </c>
      <c r="N15" s="70"/>
      <c r="O15" s="56">
        <v>2017</v>
      </c>
      <c r="P15" s="56"/>
      <c r="Q15" s="56"/>
      <c r="R15" s="56"/>
      <c r="S15" s="56"/>
      <c r="T15" s="66" t="s">
        <v>528</v>
      </c>
      <c r="U15" s="66"/>
      <c r="V15" s="71" t="s">
        <v>1568</v>
      </c>
      <c r="W15" s="66"/>
    </row>
    <row r="16" spans="1:24" s="29" customFormat="1" ht="15.75" customHeight="1" x14ac:dyDescent="0.25">
      <c r="A16"/>
      <c r="B16" s="56" t="s">
        <v>28</v>
      </c>
      <c r="C16" s="56" t="s">
        <v>1641</v>
      </c>
      <c r="D16" s="56" t="s">
        <v>52</v>
      </c>
      <c r="E16" s="56" t="s">
        <v>53</v>
      </c>
      <c r="F16" s="56"/>
      <c r="G16" s="68">
        <v>21846.76</v>
      </c>
      <c r="H16" s="68"/>
      <c r="I16" s="69">
        <f>100*L16/(21846.71*1000)</f>
        <v>3.6618786078086813E-3</v>
      </c>
      <c r="J16" s="69">
        <f>100*M16/(21846.71*1000)</f>
        <v>8.2392268675695338E-2</v>
      </c>
      <c r="K16" s="69">
        <f>100*N16/(21846.71*1000)</f>
        <v>1.4189779605258641</v>
      </c>
      <c r="L16" s="70">
        <v>800</v>
      </c>
      <c r="M16" s="70">
        <v>18000</v>
      </c>
      <c r="N16" s="70">
        <v>310000</v>
      </c>
      <c r="O16" s="56">
        <v>2017</v>
      </c>
      <c r="P16" s="56"/>
      <c r="Q16" s="56"/>
      <c r="R16" s="56"/>
      <c r="S16" s="56"/>
      <c r="T16" s="66" t="s">
        <v>528</v>
      </c>
      <c r="U16" s="66"/>
      <c r="V16" s="71" t="s">
        <v>1568</v>
      </c>
      <c r="W16" s="66"/>
    </row>
    <row r="17" spans="1:26" s="29" customFormat="1" ht="15.75" customHeight="1" x14ac:dyDescent="0.25">
      <c r="A17"/>
      <c r="B17" s="56" t="s">
        <v>28</v>
      </c>
      <c r="C17" s="56" t="s">
        <v>1641</v>
      </c>
      <c r="D17" s="56" t="s">
        <v>51</v>
      </c>
      <c r="E17" s="56" t="s">
        <v>494</v>
      </c>
      <c r="F17" s="56"/>
      <c r="G17" s="68">
        <v>30015.33</v>
      </c>
      <c r="H17" s="68"/>
      <c r="I17" s="69">
        <f>100*L17/(1000*25585.713)</f>
        <v>7.8168624810260323E-2</v>
      </c>
      <c r="J17" s="69">
        <f>100*M17/(1000*25585.713)</f>
        <v>0.11725293721539048</v>
      </c>
      <c r="K17" s="69">
        <f>100*N17/(1000*25585.713)</f>
        <v>0.16610832772180317</v>
      </c>
      <c r="L17" s="70">
        <v>20000</v>
      </c>
      <c r="M17" s="70">
        <v>30000</v>
      </c>
      <c r="N17" s="70">
        <v>42500</v>
      </c>
      <c r="O17" s="56">
        <v>2014</v>
      </c>
      <c r="P17" s="56" t="s">
        <v>691</v>
      </c>
      <c r="Q17" s="56"/>
      <c r="R17" s="56"/>
      <c r="S17" s="56" t="s">
        <v>697</v>
      </c>
      <c r="T17" s="66" t="s">
        <v>1221</v>
      </c>
      <c r="U17" s="66" t="s">
        <v>734</v>
      </c>
      <c r="V17" s="66" t="s">
        <v>621</v>
      </c>
      <c r="W17" s="66" t="s">
        <v>897</v>
      </c>
    </row>
    <row r="18" spans="1:26" s="29" customFormat="1" ht="15.75" customHeight="1" x14ac:dyDescent="0.25">
      <c r="A18"/>
      <c r="B18" s="56"/>
      <c r="C18" s="56"/>
      <c r="D18" s="56"/>
      <c r="E18" s="56"/>
      <c r="F18" s="56"/>
      <c r="G18" s="68"/>
      <c r="H18" s="68"/>
      <c r="I18" s="69"/>
      <c r="J18" s="69"/>
      <c r="K18" s="69"/>
      <c r="L18" s="70"/>
      <c r="M18" s="70"/>
      <c r="N18" s="70"/>
      <c r="O18" s="56"/>
      <c r="P18" s="56"/>
      <c r="Q18" s="56"/>
      <c r="R18" s="56"/>
      <c r="S18" s="56"/>
      <c r="T18" s="66"/>
      <c r="U18" s="66"/>
      <c r="V18" s="66"/>
      <c r="W18" s="66"/>
    </row>
    <row r="19" spans="1:26" s="29" customFormat="1" ht="15.75" customHeight="1" x14ac:dyDescent="0.25">
      <c r="A19"/>
      <c r="B19" s="56"/>
      <c r="C19" s="56"/>
      <c r="D19" s="56"/>
      <c r="E19" s="56"/>
      <c r="F19" s="56"/>
      <c r="G19" s="68"/>
      <c r="H19" s="68"/>
      <c r="I19" s="56"/>
      <c r="J19" s="56"/>
      <c r="K19" s="56"/>
      <c r="L19" s="70" t="s">
        <v>508</v>
      </c>
      <c r="M19" s="56" t="s">
        <v>508</v>
      </c>
      <c r="N19" s="70" t="s">
        <v>508</v>
      </c>
      <c r="O19" s="56"/>
      <c r="P19" s="56"/>
      <c r="Q19" s="56"/>
      <c r="R19" s="56"/>
      <c r="S19" s="56"/>
      <c r="T19" s="66"/>
      <c r="U19" s="66"/>
      <c r="V19" s="66"/>
      <c r="W19" s="66"/>
    </row>
    <row r="20" spans="1:26" s="29" customFormat="1" ht="15.75" customHeight="1" x14ac:dyDescent="0.25">
      <c r="A20"/>
      <c r="B20" s="56" t="s">
        <v>28</v>
      </c>
      <c r="C20" s="56" t="s">
        <v>1641</v>
      </c>
      <c r="D20" s="56" t="s">
        <v>41</v>
      </c>
      <c r="E20" s="56" t="s">
        <v>42</v>
      </c>
      <c r="F20" s="56"/>
      <c r="G20" s="68">
        <v>5839.3</v>
      </c>
      <c r="H20" s="68"/>
      <c r="I20" s="69" t="s">
        <v>1645</v>
      </c>
      <c r="J20" s="69"/>
      <c r="K20" s="69"/>
      <c r="L20" s="70" t="s">
        <v>508</v>
      </c>
      <c r="M20" s="56" t="s">
        <v>508</v>
      </c>
      <c r="N20" s="70" t="s">
        <v>508</v>
      </c>
      <c r="O20" s="56"/>
      <c r="P20" s="56"/>
      <c r="Q20" s="56"/>
      <c r="R20" s="56"/>
      <c r="S20" s="56"/>
      <c r="T20" s="66"/>
      <c r="U20" s="66"/>
      <c r="V20" s="66"/>
      <c r="W20" s="66"/>
    </row>
    <row r="21" spans="1:26" s="29" customFormat="1" ht="15.75" customHeight="1" x14ac:dyDescent="0.25">
      <c r="A21"/>
      <c r="B21" s="56" t="s">
        <v>28</v>
      </c>
      <c r="C21" s="56" t="s">
        <v>1641</v>
      </c>
      <c r="D21" s="56" t="s">
        <v>29</v>
      </c>
      <c r="E21" s="56" t="s">
        <v>30</v>
      </c>
      <c r="F21" s="56"/>
      <c r="G21" s="68">
        <v>478.21</v>
      </c>
      <c r="H21" s="68"/>
      <c r="I21" s="69" t="s">
        <v>1645</v>
      </c>
      <c r="J21" s="69"/>
      <c r="K21" s="69"/>
      <c r="L21" s="70" t="s">
        <v>508</v>
      </c>
      <c r="M21" s="56" t="s">
        <v>508</v>
      </c>
      <c r="N21" s="70" t="s">
        <v>508</v>
      </c>
      <c r="O21" s="56"/>
      <c r="P21" s="56"/>
      <c r="Q21" s="56"/>
      <c r="R21" s="56"/>
      <c r="S21" s="56"/>
      <c r="T21" s="66"/>
      <c r="U21" s="66"/>
      <c r="V21" s="66"/>
      <c r="W21" s="66"/>
    </row>
    <row r="22" spans="1:26" s="29" customFormat="1" ht="15.75" customHeight="1" x14ac:dyDescent="0.25">
      <c r="A22"/>
      <c r="B22" s="56" t="s">
        <v>28</v>
      </c>
      <c r="C22" s="56" t="s">
        <v>1641</v>
      </c>
      <c r="D22" s="56" t="s">
        <v>43</v>
      </c>
      <c r="E22" s="56" t="s">
        <v>44</v>
      </c>
      <c r="F22" s="56"/>
      <c r="G22" s="68">
        <v>631.91</v>
      </c>
      <c r="H22" s="68"/>
      <c r="I22" s="69" t="s">
        <v>1645</v>
      </c>
      <c r="J22" s="69"/>
      <c r="K22" s="69"/>
      <c r="L22" s="70" t="s">
        <v>508</v>
      </c>
      <c r="M22" s="56" t="s">
        <v>508</v>
      </c>
      <c r="N22" s="70" t="s">
        <v>508</v>
      </c>
      <c r="O22" s="56"/>
      <c r="P22" s="56"/>
      <c r="Q22" s="56"/>
      <c r="R22" s="56"/>
      <c r="S22" s="56"/>
      <c r="T22" s="66"/>
      <c r="U22" s="66"/>
      <c r="V22" s="66"/>
      <c r="W22" s="66"/>
    </row>
    <row r="23" spans="1:26" s="29" customFormat="1" ht="15.75" customHeight="1" x14ac:dyDescent="0.25">
      <c r="A23"/>
      <c r="B23" s="56" t="s">
        <v>28</v>
      </c>
      <c r="C23" s="56" t="s">
        <v>1641</v>
      </c>
      <c r="D23" s="56" t="s">
        <v>45</v>
      </c>
      <c r="E23" s="56" t="s">
        <v>46</v>
      </c>
      <c r="F23" s="56"/>
      <c r="G23" s="68">
        <v>1852.77</v>
      </c>
      <c r="H23" s="68"/>
      <c r="I23" s="69" t="s">
        <v>1645</v>
      </c>
      <c r="J23" s="69"/>
      <c r="K23" s="69"/>
      <c r="L23" s="70" t="s">
        <v>508</v>
      </c>
      <c r="M23" s="56" t="s">
        <v>508</v>
      </c>
      <c r="N23" s="70" t="s">
        <v>508</v>
      </c>
      <c r="O23" s="56"/>
      <c r="P23" s="56"/>
      <c r="Q23" s="56"/>
      <c r="R23" s="56"/>
      <c r="S23" s="56"/>
      <c r="T23" s="66"/>
      <c r="U23" s="66"/>
      <c r="V23" s="66"/>
      <c r="W23" s="66"/>
    </row>
    <row r="24" spans="1:26" s="29" customFormat="1" ht="15.75" customHeight="1" x14ac:dyDescent="0.25">
      <c r="A24"/>
      <c r="B24" s="56" t="s">
        <v>28</v>
      </c>
      <c r="C24" s="56" t="s">
        <v>1641</v>
      </c>
      <c r="D24" s="56" t="s">
        <v>47</v>
      </c>
      <c r="E24" s="56" t="s">
        <v>48</v>
      </c>
      <c r="F24" s="56"/>
      <c r="G24" s="68">
        <v>60855.33</v>
      </c>
      <c r="H24" s="68"/>
      <c r="I24" s="69" t="s">
        <v>1645</v>
      </c>
      <c r="J24" s="69"/>
      <c r="K24" s="69"/>
      <c r="L24" s="70" t="s">
        <v>508</v>
      </c>
      <c r="M24" s="56" t="s">
        <v>508</v>
      </c>
      <c r="N24" s="70" t="s">
        <v>508</v>
      </c>
      <c r="O24" s="56"/>
      <c r="P24" s="56"/>
      <c r="Q24" s="56"/>
      <c r="R24" s="56"/>
      <c r="S24" s="56"/>
      <c r="T24" s="66"/>
      <c r="U24" s="66"/>
      <c r="V24" s="66"/>
      <c r="W24" s="66"/>
    </row>
    <row r="25" spans="1:26" s="29" customFormat="1" ht="15.75" customHeight="1" x14ac:dyDescent="0.25">
      <c r="A25"/>
      <c r="B25" s="56" t="s">
        <v>28</v>
      </c>
      <c r="C25" s="56" t="s">
        <v>1641</v>
      </c>
      <c r="D25" s="56" t="s">
        <v>1612</v>
      </c>
      <c r="E25" s="56" t="s">
        <v>493</v>
      </c>
      <c r="F25" s="56"/>
      <c r="G25" s="68">
        <v>144.9</v>
      </c>
      <c r="H25" s="68"/>
      <c r="I25" s="69" t="s">
        <v>1645</v>
      </c>
      <c r="J25" s="69"/>
      <c r="K25" s="69"/>
      <c r="L25" s="70"/>
      <c r="M25" s="56"/>
      <c r="N25" s="70"/>
      <c r="O25" s="56"/>
      <c r="P25" s="56"/>
      <c r="Q25" s="56"/>
      <c r="R25" s="56"/>
      <c r="S25" s="56"/>
      <c r="T25" s="66"/>
      <c r="U25" s="66"/>
      <c r="V25" s="66"/>
      <c r="W25" s="66"/>
    </row>
    <row r="26" spans="1:26" s="29" customFormat="1" ht="15.75" customHeight="1" x14ac:dyDescent="0.25">
      <c r="A26"/>
      <c r="B26" s="56" t="s">
        <v>28</v>
      </c>
      <c r="C26" s="56" t="s">
        <v>1641</v>
      </c>
      <c r="D26" s="56" t="s">
        <v>39</v>
      </c>
      <c r="E26" s="56" t="s">
        <v>40</v>
      </c>
      <c r="F26" s="56"/>
      <c r="G26" s="68">
        <v>7586.68</v>
      </c>
      <c r="H26" s="68"/>
      <c r="I26" s="69" t="s">
        <v>1645</v>
      </c>
      <c r="J26" s="69"/>
      <c r="K26" s="69"/>
      <c r="L26" s="70" t="s">
        <v>508</v>
      </c>
      <c r="M26" s="56" t="s">
        <v>508</v>
      </c>
      <c r="N26" s="70" t="s">
        <v>508</v>
      </c>
      <c r="O26" s="56"/>
      <c r="P26" s="56"/>
      <c r="Q26" s="56"/>
      <c r="R26" s="56"/>
      <c r="S26" s="56"/>
      <c r="T26" s="66"/>
      <c r="U26" s="66"/>
      <c r="V26" s="66"/>
      <c r="W26" s="66"/>
    </row>
    <row r="27" spans="1:26" s="29" customFormat="1" ht="15.75" customHeight="1" x14ac:dyDescent="0.25">
      <c r="A27"/>
      <c r="B27" s="56"/>
      <c r="C27" s="56"/>
      <c r="D27" s="56"/>
      <c r="E27" s="56"/>
      <c r="F27" s="56"/>
      <c r="G27" s="68"/>
      <c r="H27" s="68"/>
      <c r="I27" s="69"/>
      <c r="J27" s="69"/>
      <c r="K27" s="69"/>
      <c r="L27" s="70"/>
      <c r="M27" s="70"/>
      <c r="N27" s="70"/>
      <c r="O27" s="56"/>
      <c r="P27" s="56"/>
      <c r="Q27" s="56"/>
      <c r="R27" s="56"/>
      <c r="S27" s="56"/>
      <c r="T27" s="66"/>
      <c r="U27" s="66"/>
      <c r="V27" s="66"/>
      <c r="W27" s="66"/>
    </row>
    <row r="28" spans="1:26" s="29" customFormat="1" ht="15.75" customHeight="1" thickBot="1" x14ac:dyDescent="0.3">
      <c r="A28"/>
      <c r="B28" s="56"/>
      <c r="C28" s="56"/>
      <c r="D28" s="56"/>
      <c r="E28" s="56"/>
      <c r="F28" s="56"/>
      <c r="G28" s="68"/>
      <c r="H28" s="68"/>
      <c r="I28" s="56"/>
      <c r="J28" s="56"/>
      <c r="K28" s="56"/>
      <c r="L28" s="70" t="s">
        <v>508</v>
      </c>
      <c r="M28" s="56" t="s">
        <v>508</v>
      </c>
      <c r="N28" s="70" t="s">
        <v>508</v>
      </c>
      <c r="O28" s="72"/>
      <c r="P28" s="72"/>
      <c r="Q28" s="72"/>
      <c r="R28" s="72"/>
      <c r="S28" s="72"/>
      <c r="T28" s="73"/>
      <c r="U28" s="73"/>
      <c r="V28" s="73"/>
      <c r="W28" s="73"/>
    </row>
    <row r="29" spans="1:26" s="29" customFormat="1" ht="15.75" customHeight="1" thickTop="1" x14ac:dyDescent="0.25">
      <c r="A29"/>
      <c r="B29" s="74"/>
      <c r="C29" s="74"/>
      <c r="D29" s="74"/>
      <c r="E29" s="74"/>
      <c r="F29" s="74"/>
      <c r="G29" s="75"/>
      <c r="H29" s="75"/>
      <c r="I29" s="74"/>
      <c r="J29" s="74"/>
      <c r="K29" s="74"/>
      <c r="L29" s="74" t="s">
        <v>508</v>
      </c>
      <c r="M29" s="74" t="s">
        <v>508</v>
      </c>
      <c r="N29" s="74" t="s">
        <v>508</v>
      </c>
      <c r="O29" s="56"/>
      <c r="P29" s="56"/>
      <c r="Q29" s="56"/>
      <c r="R29" s="56"/>
      <c r="S29" s="56"/>
      <c r="T29" s="76"/>
      <c r="U29" s="66"/>
      <c r="V29" s="66"/>
      <c r="W29" s="66"/>
      <c r="X29" s="44"/>
    </row>
    <row r="30" spans="1:26" s="29" customFormat="1" ht="15.75" customHeight="1" x14ac:dyDescent="0.25">
      <c r="A30"/>
      <c r="B30" s="56" t="s">
        <v>28</v>
      </c>
      <c r="C30" s="56" t="s">
        <v>56</v>
      </c>
      <c r="D30" s="56" t="s">
        <v>59</v>
      </c>
      <c r="E30" s="56" t="s">
        <v>60</v>
      </c>
      <c r="F30" s="56"/>
      <c r="G30" s="68">
        <v>60010.35</v>
      </c>
      <c r="H30" s="68"/>
      <c r="I30" s="69">
        <v>0.35</v>
      </c>
      <c r="J30" s="69">
        <v>0.37</v>
      </c>
      <c r="K30" s="69">
        <v>0.48</v>
      </c>
      <c r="L30" s="70">
        <v>86142</v>
      </c>
      <c r="M30" s="70">
        <v>93314</v>
      </c>
      <c r="N30" s="70">
        <v>119412</v>
      </c>
      <c r="O30" s="56">
        <v>2014</v>
      </c>
      <c r="P30" s="56"/>
      <c r="Q30" s="56" t="s">
        <v>699</v>
      </c>
      <c r="R30" s="56" t="s">
        <v>700</v>
      </c>
      <c r="S30" s="56" t="s">
        <v>701</v>
      </c>
      <c r="T30" s="66" t="s">
        <v>676</v>
      </c>
      <c r="U30" s="66" t="s">
        <v>1614</v>
      </c>
      <c r="V30" s="66" t="s">
        <v>678</v>
      </c>
      <c r="W30" s="66" t="s">
        <v>775</v>
      </c>
      <c r="Z30" s="32" t="s">
        <v>677</v>
      </c>
    </row>
    <row r="31" spans="1:26" s="29" customFormat="1" ht="15.75" customHeight="1" x14ac:dyDescent="0.25">
      <c r="A31"/>
      <c r="B31" s="56" t="s">
        <v>28</v>
      </c>
      <c r="C31" s="56" t="s">
        <v>56</v>
      </c>
      <c r="D31" s="56" t="s">
        <v>63</v>
      </c>
      <c r="E31" s="56" t="s">
        <v>1</v>
      </c>
      <c r="F31" s="56"/>
      <c r="G31" s="68">
        <v>4493.92</v>
      </c>
      <c r="H31" s="68"/>
      <c r="I31" s="69"/>
      <c r="J31" s="69">
        <v>0.05</v>
      </c>
      <c r="K31" s="69"/>
      <c r="L31" s="70"/>
      <c r="M31" s="70">
        <v>1685</v>
      </c>
      <c r="N31" s="70"/>
      <c r="O31" s="56">
        <v>2001</v>
      </c>
      <c r="P31" s="56"/>
      <c r="Q31" s="56"/>
      <c r="R31" s="56"/>
      <c r="S31" s="56"/>
      <c r="T31" s="66" t="s">
        <v>15</v>
      </c>
      <c r="U31" s="66" t="s">
        <v>898</v>
      </c>
      <c r="V31" s="66" t="s">
        <v>482</v>
      </c>
      <c r="W31" s="66"/>
    </row>
    <row r="32" spans="1:26" s="29" customFormat="1" ht="15.75" customHeight="1" x14ac:dyDescent="0.25">
      <c r="A32"/>
      <c r="B32" s="56" t="s">
        <v>28</v>
      </c>
      <c r="C32" s="56" t="s">
        <v>56</v>
      </c>
      <c r="D32" s="56" t="s">
        <v>61</v>
      </c>
      <c r="E32" s="56" t="s">
        <v>62</v>
      </c>
      <c r="F32" s="56"/>
      <c r="G32" s="68">
        <v>23700.18</v>
      </c>
      <c r="H32" s="68"/>
      <c r="I32" s="69"/>
      <c r="J32" s="69">
        <f>100*M32/(23700.195*1000)</f>
        <v>5.0632494795928894E-3</v>
      </c>
      <c r="K32" s="69"/>
      <c r="L32" s="70" t="s">
        <v>508</v>
      </c>
      <c r="M32" s="70">
        <v>1200</v>
      </c>
      <c r="N32" s="70" t="s">
        <v>508</v>
      </c>
      <c r="O32" s="56">
        <v>2017</v>
      </c>
      <c r="P32" s="56"/>
      <c r="Q32" s="56"/>
      <c r="R32" s="56"/>
      <c r="S32" s="56" t="s">
        <v>697</v>
      </c>
      <c r="T32" s="66" t="s">
        <v>528</v>
      </c>
      <c r="U32" s="66" t="s">
        <v>1489</v>
      </c>
      <c r="V32" s="71" t="s">
        <v>1569</v>
      </c>
      <c r="W32" s="66" t="s">
        <v>1571</v>
      </c>
    </row>
    <row r="33" spans="1:24" s="29" customFormat="1" ht="15.75" customHeight="1" x14ac:dyDescent="0.25">
      <c r="A33"/>
      <c r="B33" s="56" t="s">
        <v>28</v>
      </c>
      <c r="C33" s="56" t="s">
        <v>56</v>
      </c>
      <c r="D33" s="56" t="s">
        <v>64</v>
      </c>
      <c r="E33" s="56" t="s">
        <v>65</v>
      </c>
      <c r="F33" s="56"/>
      <c r="G33" s="68">
        <v>7808.16</v>
      </c>
      <c r="H33" s="68"/>
      <c r="I33" s="56"/>
      <c r="J33" s="69">
        <f>100*M33/(7703.75*1000)</f>
        <v>0.12980691221807561</v>
      </c>
      <c r="K33" s="56"/>
      <c r="L33" s="70" t="s">
        <v>508</v>
      </c>
      <c r="M33" s="70">
        <v>10000</v>
      </c>
      <c r="N33" s="70" t="s">
        <v>508</v>
      </c>
      <c r="O33" s="56">
        <v>2014</v>
      </c>
      <c r="P33" s="56"/>
      <c r="Q33" s="56"/>
      <c r="R33" s="56"/>
      <c r="S33" s="56" t="s">
        <v>697</v>
      </c>
      <c r="T33" s="66" t="s">
        <v>480</v>
      </c>
      <c r="U33" s="66" t="s">
        <v>737</v>
      </c>
      <c r="V33" s="66" t="s">
        <v>1140</v>
      </c>
      <c r="W33" s="66"/>
    </row>
    <row r="34" spans="1:24" s="29" customFormat="1" ht="15.75" customHeight="1" x14ac:dyDescent="0.25">
      <c r="A34"/>
      <c r="B34" s="56"/>
      <c r="C34" s="56"/>
      <c r="D34" s="56"/>
      <c r="E34" s="56"/>
      <c r="F34" s="56"/>
      <c r="G34" s="68"/>
      <c r="H34" s="68"/>
      <c r="I34" s="56"/>
      <c r="J34" s="69"/>
      <c r="K34" s="56"/>
      <c r="L34" s="70"/>
      <c r="M34" s="70"/>
      <c r="N34" s="70"/>
      <c r="O34" s="56"/>
      <c r="P34" s="56"/>
      <c r="Q34" s="56"/>
      <c r="R34" s="56"/>
      <c r="S34" s="56"/>
      <c r="T34" s="66"/>
      <c r="U34" s="66"/>
      <c r="V34" s="66"/>
      <c r="W34" s="66"/>
    </row>
    <row r="35" spans="1:24" s="29" customFormat="1" ht="15.75" customHeight="1" x14ac:dyDescent="0.25">
      <c r="A35"/>
      <c r="B35" s="56"/>
      <c r="C35" s="56"/>
      <c r="D35" s="56"/>
      <c r="E35" s="56"/>
      <c r="F35" s="56"/>
      <c r="G35" s="68"/>
      <c r="H35" s="68"/>
      <c r="I35" s="56"/>
      <c r="J35" s="69"/>
      <c r="K35" s="56"/>
      <c r="L35" s="70"/>
      <c r="M35" s="70"/>
      <c r="N35" s="70"/>
      <c r="O35" s="56"/>
      <c r="P35" s="56"/>
      <c r="Q35" s="56"/>
      <c r="R35" s="56"/>
      <c r="S35" s="56"/>
      <c r="T35" s="66"/>
      <c r="U35" s="66"/>
      <c r="V35" s="66"/>
      <c r="W35" s="66"/>
    </row>
    <row r="36" spans="1:24" s="29" customFormat="1" ht="15.75" customHeight="1" x14ac:dyDescent="0.25">
      <c r="A36"/>
      <c r="B36" s="56" t="s">
        <v>28</v>
      </c>
      <c r="C36" s="56" t="s">
        <v>56</v>
      </c>
      <c r="D36" s="56" t="s">
        <v>57</v>
      </c>
      <c r="E36" s="56" t="s">
        <v>58</v>
      </c>
      <c r="F36" s="56"/>
      <c r="G36" s="68">
        <v>26810.32</v>
      </c>
      <c r="H36" s="68"/>
      <c r="I36" s="69" t="s">
        <v>1645</v>
      </c>
      <c r="J36" s="69"/>
      <c r="K36" s="69"/>
      <c r="L36" s="70" t="s">
        <v>508</v>
      </c>
      <c r="M36" s="56" t="s">
        <v>508</v>
      </c>
      <c r="N36" s="70" t="s">
        <v>508</v>
      </c>
      <c r="O36" s="56"/>
      <c r="P36" s="56"/>
      <c r="Q36" s="56"/>
      <c r="R36" s="56"/>
      <c r="S36" s="56"/>
      <c r="T36" s="66"/>
      <c r="U36" s="66"/>
      <c r="V36" s="66"/>
      <c r="W36" s="66"/>
    </row>
    <row r="37" spans="1:24" s="29" customFormat="1" ht="15.75" customHeight="1" x14ac:dyDescent="0.25">
      <c r="A37"/>
      <c r="B37" s="56" t="s">
        <v>28</v>
      </c>
      <c r="C37" s="56" t="s">
        <v>56</v>
      </c>
      <c r="D37" s="56" t="s">
        <v>66</v>
      </c>
      <c r="E37" s="56" t="s">
        <v>67</v>
      </c>
      <c r="F37" s="56"/>
      <c r="G37" s="68">
        <v>23371.26</v>
      </c>
      <c r="H37" s="68"/>
      <c r="I37" s="69" t="s">
        <v>1645</v>
      </c>
      <c r="J37" s="69"/>
      <c r="K37" s="69"/>
      <c r="L37" s="70" t="s">
        <v>508</v>
      </c>
      <c r="M37" s="56" t="s">
        <v>508</v>
      </c>
      <c r="N37" s="70" t="s">
        <v>508</v>
      </c>
      <c r="O37" s="56"/>
      <c r="P37" s="56"/>
      <c r="Q37" s="56"/>
      <c r="R37" s="56"/>
      <c r="S37" s="56"/>
      <c r="T37" s="66"/>
      <c r="U37" s="66"/>
      <c r="V37" s="66"/>
      <c r="W37" s="66"/>
    </row>
    <row r="38" spans="1:24" s="29" customFormat="1" ht="15.75" customHeight="1" x14ac:dyDescent="0.25">
      <c r="A38"/>
      <c r="B38" s="56"/>
      <c r="C38" s="56"/>
      <c r="D38" s="56"/>
      <c r="E38" s="56"/>
      <c r="F38" s="56"/>
      <c r="G38" s="68"/>
      <c r="H38" s="68"/>
      <c r="I38" s="56"/>
      <c r="J38" s="69"/>
      <c r="K38" s="56"/>
      <c r="L38" s="70"/>
      <c r="M38" s="70"/>
      <c r="N38" s="70"/>
      <c r="O38" s="56"/>
      <c r="P38" s="56"/>
      <c r="Q38" s="56"/>
      <c r="R38" s="56"/>
      <c r="S38" s="56"/>
      <c r="T38" s="66"/>
      <c r="U38" s="66"/>
      <c r="V38" s="66"/>
      <c r="W38" s="66"/>
    </row>
    <row r="39" spans="1:24" s="29" customFormat="1" ht="15.75" customHeight="1" thickBot="1" x14ac:dyDescent="0.3">
      <c r="A39"/>
      <c r="B39" s="56"/>
      <c r="C39" s="56"/>
      <c r="D39" s="56"/>
      <c r="E39" s="56"/>
      <c r="F39" s="56"/>
      <c r="G39" s="68"/>
      <c r="H39" s="68"/>
      <c r="I39" s="56"/>
      <c r="J39" s="56"/>
      <c r="K39" s="56"/>
      <c r="L39" s="70" t="s">
        <v>508</v>
      </c>
      <c r="M39" s="56" t="s">
        <v>508</v>
      </c>
      <c r="N39" s="70" t="s">
        <v>508</v>
      </c>
      <c r="O39" s="72"/>
      <c r="P39" s="72"/>
      <c r="Q39" s="72"/>
      <c r="R39" s="72"/>
      <c r="S39" s="72"/>
      <c r="T39" s="73"/>
      <c r="U39" s="73"/>
      <c r="V39" s="73"/>
      <c r="W39" s="73"/>
    </row>
    <row r="40" spans="1:24" s="29" customFormat="1" ht="15.75" customHeight="1" thickTop="1" x14ac:dyDescent="0.25">
      <c r="A40"/>
      <c r="B40" s="74"/>
      <c r="C40" s="74"/>
      <c r="D40" s="74"/>
      <c r="E40" s="74"/>
      <c r="F40" s="74"/>
      <c r="G40" s="75"/>
      <c r="H40" s="75"/>
      <c r="I40" s="74"/>
      <c r="J40" s="74"/>
      <c r="K40" s="74"/>
      <c r="L40" s="74" t="s">
        <v>508</v>
      </c>
      <c r="M40" s="74" t="s">
        <v>508</v>
      </c>
      <c r="N40" s="74" t="s">
        <v>508</v>
      </c>
      <c r="O40" s="56"/>
      <c r="P40" s="56"/>
      <c r="Q40" s="56"/>
      <c r="R40" s="56"/>
      <c r="S40" s="56"/>
      <c r="T40" s="76"/>
      <c r="U40" s="66"/>
      <c r="V40" s="66"/>
      <c r="W40" s="66"/>
      <c r="X40" s="44"/>
    </row>
    <row r="41" spans="1:24" s="29" customFormat="1" ht="15.75" customHeight="1" x14ac:dyDescent="0.25">
      <c r="A41"/>
      <c r="B41" s="56" t="s">
        <v>28</v>
      </c>
      <c r="C41" s="56" t="s">
        <v>1642</v>
      </c>
      <c r="D41" s="56" t="s">
        <v>80</v>
      </c>
      <c r="E41" s="56" t="s">
        <v>81</v>
      </c>
      <c r="F41" s="56"/>
      <c r="G41" s="68">
        <v>1315.23</v>
      </c>
      <c r="H41" s="68"/>
      <c r="I41" s="56"/>
      <c r="J41" s="69">
        <f>100*M41/(1255.173*1000)</f>
        <v>0.20714276040035914</v>
      </c>
      <c r="K41" s="56"/>
      <c r="L41" s="70"/>
      <c r="M41" s="70">
        <v>2600</v>
      </c>
      <c r="N41" s="70"/>
      <c r="O41" s="56">
        <v>2014</v>
      </c>
      <c r="P41" s="56"/>
      <c r="Q41" s="56"/>
      <c r="R41" s="56"/>
      <c r="S41" s="56"/>
      <c r="T41" s="66" t="s">
        <v>661</v>
      </c>
      <c r="U41" s="66" t="s">
        <v>737</v>
      </c>
      <c r="V41" s="66" t="s">
        <v>514</v>
      </c>
      <c r="W41" s="66"/>
    </row>
    <row r="42" spans="1:24" s="29" customFormat="1" ht="15.75" customHeight="1" x14ac:dyDescent="0.25">
      <c r="A42"/>
      <c r="B42" s="56" t="s">
        <v>28</v>
      </c>
      <c r="C42" s="56" t="s">
        <v>1642</v>
      </c>
      <c r="D42" s="56" t="s">
        <v>84</v>
      </c>
      <c r="E42" s="56" t="s">
        <v>85</v>
      </c>
      <c r="F42" s="56"/>
      <c r="G42" s="68">
        <v>15467.26</v>
      </c>
      <c r="H42" s="68"/>
      <c r="I42" s="56"/>
      <c r="J42" s="69">
        <f>100*M42/(13920.384*1000)</f>
        <v>1.5832896563772954E-2</v>
      </c>
      <c r="K42" s="56"/>
      <c r="L42" s="70"/>
      <c r="M42" s="70">
        <f>1684+520</f>
        <v>2204</v>
      </c>
      <c r="N42" s="70"/>
      <c r="O42" s="56">
        <v>2014</v>
      </c>
      <c r="P42" s="56" t="s">
        <v>702</v>
      </c>
      <c r="Q42" s="56" t="s">
        <v>692</v>
      </c>
      <c r="R42" s="56" t="s">
        <v>693</v>
      </c>
      <c r="S42" s="56" t="s">
        <v>1172</v>
      </c>
      <c r="T42" s="66" t="s">
        <v>633</v>
      </c>
      <c r="U42" s="66" t="s">
        <v>738</v>
      </c>
      <c r="V42" s="66" t="s">
        <v>1169</v>
      </c>
      <c r="W42" s="66" t="s">
        <v>1174</v>
      </c>
    </row>
    <row r="43" spans="1:24" s="29" customFormat="1" ht="15.75" customHeight="1" x14ac:dyDescent="0.25">
      <c r="A43"/>
      <c r="B43" s="56" t="s">
        <v>28</v>
      </c>
      <c r="C43" s="56" t="s">
        <v>1642</v>
      </c>
      <c r="D43" s="56" t="s">
        <v>70</v>
      </c>
      <c r="E43" s="56" t="s">
        <v>71</v>
      </c>
      <c r="F43" s="56"/>
      <c r="G43" s="68">
        <v>37913.370000000003</v>
      </c>
      <c r="H43" s="68"/>
      <c r="I43" s="69">
        <f>100*L43/(35815.132*1000)</f>
        <v>0.20344194180269948</v>
      </c>
      <c r="J43" s="69">
        <f>100*M43/(35815.132*1000)</f>
        <v>0.21136596676510921</v>
      </c>
      <c r="K43" s="69">
        <f>100*N43/(35815.132*1000)</f>
        <v>0.21928440749569206</v>
      </c>
      <c r="L43" s="70">
        <v>72863</v>
      </c>
      <c r="M43" s="70">
        <v>75701</v>
      </c>
      <c r="N43" s="70">
        <v>78537</v>
      </c>
      <c r="O43" s="56">
        <v>2015</v>
      </c>
      <c r="P43" s="56" t="s">
        <v>691</v>
      </c>
      <c r="Q43" s="56"/>
      <c r="R43" s="56" t="s">
        <v>693</v>
      </c>
      <c r="S43" s="56" t="s">
        <v>697</v>
      </c>
      <c r="T43" s="66" t="s">
        <v>1259</v>
      </c>
      <c r="U43" s="66" t="s">
        <v>736</v>
      </c>
      <c r="V43" s="66" t="s">
        <v>679</v>
      </c>
      <c r="W43" s="66" t="s">
        <v>1572</v>
      </c>
    </row>
    <row r="44" spans="1:24" s="29" customFormat="1" ht="15.75" customHeight="1" x14ac:dyDescent="0.25">
      <c r="A44"/>
      <c r="B44" s="56" t="s">
        <v>28</v>
      </c>
      <c r="C44" s="56" t="s">
        <v>1642</v>
      </c>
      <c r="D44" s="56" t="s">
        <v>72</v>
      </c>
      <c r="E44" s="56" t="s">
        <v>73</v>
      </c>
      <c r="F44" s="56"/>
      <c r="G44" s="68">
        <v>9190.19</v>
      </c>
      <c r="H44" s="68"/>
      <c r="I44" s="69"/>
      <c r="J44" s="69">
        <f>100*M44/(8296.609*1000)</f>
        <v>2.7493160157360676E-2</v>
      </c>
      <c r="K44" s="69"/>
      <c r="L44" s="70"/>
      <c r="M44" s="70">
        <v>2281</v>
      </c>
      <c r="N44" s="70"/>
      <c r="O44" s="56">
        <v>2015</v>
      </c>
      <c r="P44" s="56"/>
      <c r="Q44" s="56"/>
      <c r="R44" s="56"/>
      <c r="S44" s="56" t="s">
        <v>704</v>
      </c>
      <c r="T44" s="66" t="s">
        <v>662</v>
      </c>
      <c r="U44" s="66" t="s">
        <v>739</v>
      </c>
      <c r="V44" s="66" t="s">
        <v>514</v>
      </c>
      <c r="W44" s="66"/>
    </row>
    <row r="45" spans="1:24" s="29" customFormat="1" ht="15.75" customHeight="1" x14ac:dyDescent="0.25">
      <c r="A45"/>
      <c r="B45" s="56"/>
      <c r="C45" s="56"/>
      <c r="D45" s="56"/>
      <c r="E45" s="56"/>
      <c r="F45" s="56"/>
      <c r="G45" s="68"/>
      <c r="H45" s="68"/>
      <c r="I45" s="56"/>
      <c r="J45" s="69"/>
      <c r="K45" s="56"/>
      <c r="L45" s="70"/>
      <c r="M45" s="70"/>
      <c r="N45" s="70"/>
      <c r="O45" s="56"/>
      <c r="P45" s="56"/>
      <c r="Q45" s="56"/>
      <c r="R45" s="56"/>
      <c r="S45" s="56"/>
      <c r="T45" s="66"/>
      <c r="U45" s="66"/>
      <c r="V45" s="66"/>
      <c r="W45" s="66"/>
    </row>
    <row r="46" spans="1:24" s="29" customFormat="1" ht="15.75" customHeight="1" x14ac:dyDescent="0.25">
      <c r="A46"/>
      <c r="B46" s="56"/>
      <c r="C46" s="56"/>
      <c r="D46" s="56"/>
      <c r="E46" s="56"/>
      <c r="F46" s="56"/>
      <c r="G46" s="68"/>
      <c r="H46" s="68"/>
      <c r="I46" s="56"/>
      <c r="J46" s="69"/>
      <c r="K46" s="56"/>
      <c r="L46" s="70"/>
      <c r="M46" s="70"/>
      <c r="N46" s="70"/>
      <c r="O46" s="56"/>
      <c r="P46" s="56"/>
      <c r="Q46" s="56"/>
      <c r="R46" s="56"/>
      <c r="S46" s="56"/>
      <c r="T46" s="66"/>
      <c r="U46" s="66"/>
      <c r="V46" s="66"/>
      <c r="W46" s="66"/>
    </row>
    <row r="47" spans="1:24" s="29" customFormat="1" ht="15.75" customHeight="1" x14ac:dyDescent="0.25">
      <c r="A47"/>
      <c r="B47" s="56" t="s">
        <v>28</v>
      </c>
      <c r="C47" s="56" t="s">
        <v>1642</v>
      </c>
      <c r="D47" s="56" t="s">
        <v>76</v>
      </c>
      <c r="E47" s="56" t="s">
        <v>77</v>
      </c>
      <c r="F47" s="56"/>
      <c r="G47" s="68">
        <v>15705.2</v>
      </c>
      <c r="H47" s="68"/>
      <c r="I47" s="69" t="s">
        <v>1645</v>
      </c>
      <c r="J47" s="69"/>
      <c r="K47" s="69"/>
      <c r="L47" s="70" t="s">
        <v>508</v>
      </c>
      <c r="M47" s="56" t="s">
        <v>508</v>
      </c>
      <c r="N47" s="70" t="s">
        <v>508</v>
      </c>
      <c r="O47" s="56"/>
      <c r="P47" s="56"/>
      <c r="Q47" s="56"/>
      <c r="R47" s="56"/>
      <c r="S47" s="56"/>
      <c r="T47" s="66"/>
      <c r="U47" s="66"/>
      <c r="V47" s="66"/>
      <c r="W47" s="66"/>
    </row>
    <row r="48" spans="1:24" s="29" customFormat="1" ht="15.75" customHeight="1" x14ac:dyDescent="0.25">
      <c r="A48"/>
      <c r="B48" s="56" t="s">
        <v>28</v>
      </c>
      <c r="C48" s="56" t="s">
        <v>1642</v>
      </c>
      <c r="D48" s="56" t="s">
        <v>78</v>
      </c>
      <c r="E48" s="56" t="s">
        <v>79</v>
      </c>
      <c r="F48" s="56"/>
      <c r="G48" s="68">
        <v>1389.95</v>
      </c>
      <c r="H48" s="68"/>
      <c r="I48" s="69" t="s">
        <v>1645</v>
      </c>
      <c r="J48" s="69"/>
      <c r="K48" s="69"/>
      <c r="L48" s="70" t="s">
        <v>508</v>
      </c>
      <c r="M48" s="56" t="s">
        <v>508</v>
      </c>
      <c r="N48" s="70" t="s">
        <v>508</v>
      </c>
      <c r="O48" s="56"/>
      <c r="P48" s="56"/>
      <c r="Q48" s="56"/>
      <c r="R48" s="56"/>
      <c r="S48" s="56"/>
      <c r="T48" s="66"/>
      <c r="U48" s="66"/>
      <c r="V48" s="66"/>
      <c r="W48" s="66"/>
    </row>
    <row r="49" spans="1:24" s="29" customFormat="1" ht="15.75" customHeight="1" x14ac:dyDescent="0.25">
      <c r="A49"/>
      <c r="B49" s="56" t="s">
        <v>28</v>
      </c>
      <c r="C49" s="56" t="s">
        <v>1642</v>
      </c>
      <c r="D49" s="56" t="s">
        <v>82</v>
      </c>
      <c r="E49" s="56" t="s">
        <v>83</v>
      </c>
      <c r="F49" s="56"/>
      <c r="G49" s="68">
        <v>9697.9699999999993</v>
      </c>
      <c r="H49" s="68"/>
      <c r="I49" s="69" t="s">
        <v>1645</v>
      </c>
      <c r="J49" s="69"/>
      <c r="K49" s="69"/>
      <c r="L49" s="70" t="s">
        <v>508</v>
      </c>
      <c r="M49" s="56" t="s">
        <v>508</v>
      </c>
      <c r="N49" s="70" t="s">
        <v>508</v>
      </c>
      <c r="O49" s="56"/>
      <c r="P49" s="56"/>
      <c r="Q49" s="56"/>
      <c r="R49" s="56"/>
      <c r="S49" s="56"/>
      <c r="T49" s="66"/>
      <c r="U49" s="66"/>
      <c r="V49" s="66"/>
      <c r="W49" s="66"/>
    </row>
    <row r="50" spans="1:24" s="29" customFormat="1" ht="15.75" customHeight="1" x14ac:dyDescent="0.25">
      <c r="A50"/>
      <c r="B50" s="56" t="s">
        <v>28</v>
      </c>
      <c r="C50" s="56" t="s">
        <v>1642</v>
      </c>
      <c r="D50" s="56" t="s">
        <v>68</v>
      </c>
      <c r="E50" s="56" t="s">
        <v>69</v>
      </c>
      <c r="F50" s="56"/>
      <c r="G50" s="68">
        <v>1455.61</v>
      </c>
      <c r="H50" s="68"/>
      <c r="I50" s="69" t="s">
        <v>1645</v>
      </c>
      <c r="J50" s="69"/>
      <c r="K50" s="69"/>
      <c r="L50" s="70" t="s">
        <v>508</v>
      </c>
      <c r="M50" s="56" t="s">
        <v>508</v>
      </c>
      <c r="N50" s="70" t="s">
        <v>508</v>
      </c>
      <c r="O50" s="56"/>
      <c r="P50" s="56"/>
      <c r="Q50" s="56"/>
      <c r="R50" s="56"/>
      <c r="S50" s="56"/>
      <c r="T50" s="66"/>
      <c r="U50" s="66"/>
      <c r="V50" s="66"/>
      <c r="W50" s="66"/>
    </row>
    <row r="51" spans="1:24" s="29" customFormat="1" ht="15.75" customHeight="1" x14ac:dyDescent="0.25">
      <c r="A51"/>
      <c r="B51" s="56" t="s">
        <v>28</v>
      </c>
      <c r="C51" s="56" t="s">
        <v>1642</v>
      </c>
      <c r="D51" s="56" t="s">
        <v>54</v>
      </c>
      <c r="E51" s="56" t="s">
        <v>55</v>
      </c>
      <c r="F51" s="56"/>
      <c r="G51" s="68">
        <v>574.83000000000004</v>
      </c>
      <c r="H51" s="68"/>
      <c r="I51" s="69" t="s">
        <v>1645</v>
      </c>
      <c r="J51" s="69"/>
      <c r="K51" s="69"/>
      <c r="L51" s="70" t="s">
        <v>508</v>
      </c>
      <c r="M51" s="56" t="s">
        <v>508</v>
      </c>
      <c r="N51" s="70" t="s">
        <v>508</v>
      </c>
      <c r="O51" s="56"/>
      <c r="P51" s="56"/>
      <c r="Q51" s="56"/>
      <c r="R51" s="56"/>
      <c r="S51" s="56"/>
      <c r="T51" s="66"/>
      <c r="U51" s="66"/>
      <c r="V51" s="66"/>
      <c r="W51" s="66"/>
    </row>
    <row r="52" spans="1:24" s="29" customFormat="1" ht="15.75" customHeight="1" x14ac:dyDescent="0.25">
      <c r="A52"/>
      <c r="B52" s="56" t="s">
        <v>28</v>
      </c>
      <c r="C52" s="56" t="s">
        <v>1642</v>
      </c>
      <c r="D52" s="56" t="s">
        <v>86</v>
      </c>
      <c r="E52" s="56" t="s">
        <v>1609</v>
      </c>
      <c r="F52" s="56"/>
      <c r="G52" s="68">
        <v>657.59</v>
      </c>
      <c r="H52" s="68"/>
      <c r="I52" s="69" t="s">
        <v>1645</v>
      </c>
      <c r="J52" s="69"/>
      <c r="K52" s="69"/>
      <c r="L52" s="70" t="s">
        <v>508</v>
      </c>
      <c r="M52" s="56" t="s">
        <v>508</v>
      </c>
      <c r="N52" s="70" t="s">
        <v>508</v>
      </c>
      <c r="O52" s="56"/>
      <c r="P52" s="56"/>
      <c r="Q52" s="56"/>
      <c r="R52" s="56"/>
      <c r="S52" s="56"/>
      <c r="T52" s="66"/>
      <c r="U52" s="66"/>
      <c r="V52" s="66"/>
      <c r="W52" s="66"/>
    </row>
    <row r="53" spans="1:24" s="29" customFormat="1" ht="15.75" customHeight="1" x14ac:dyDescent="0.25">
      <c r="A53"/>
      <c r="B53" s="56" t="s">
        <v>28</v>
      </c>
      <c r="C53" s="56" t="s">
        <v>1642</v>
      </c>
      <c r="D53" s="56" t="s">
        <v>74</v>
      </c>
      <c r="E53" s="56" t="s">
        <v>75</v>
      </c>
      <c r="F53" s="56"/>
      <c r="G53" s="68">
        <v>7892.22</v>
      </c>
      <c r="H53" s="68"/>
      <c r="I53" s="69" t="s">
        <v>1645</v>
      </c>
      <c r="J53" s="69"/>
      <c r="K53" s="69"/>
      <c r="L53" s="70" t="s">
        <v>508</v>
      </c>
      <c r="M53" s="56" t="s">
        <v>508</v>
      </c>
      <c r="N53" s="70" t="s">
        <v>508</v>
      </c>
      <c r="O53" s="56"/>
      <c r="P53" s="56"/>
      <c r="Q53" s="56"/>
      <c r="R53" s="56"/>
      <c r="S53" s="56"/>
      <c r="T53" s="66"/>
      <c r="U53" s="66"/>
      <c r="V53" s="66"/>
      <c r="W53" s="66"/>
    </row>
    <row r="54" spans="1:24" s="29" customFormat="1" ht="15.75" customHeight="1" x14ac:dyDescent="0.25">
      <c r="A54"/>
      <c r="B54" s="56"/>
      <c r="C54" s="56"/>
      <c r="D54" s="56"/>
      <c r="E54" s="56"/>
      <c r="F54" s="56"/>
      <c r="G54" s="68"/>
      <c r="H54" s="68"/>
      <c r="I54" s="56"/>
      <c r="J54" s="69"/>
      <c r="K54" s="56"/>
      <c r="L54" s="70"/>
      <c r="M54" s="70"/>
      <c r="N54" s="70"/>
      <c r="O54" s="56"/>
      <c r="P54" s="56"/>
      <c r="Q54" s="56"/>
      <c r="R54" s="56"/>
      <c r="S54" s="56"/>
      <c r="T54" s="66"/>
      <c r="U54" s="66"/>
      <c r="V54" s="66"/>
      <c r="W54" s="66"/>
    </row>
    <row r="55" spans="1:24" s="29" customFormat="1" ht="15.75" customHeight="1" thickBot="1" x14ac:dyDescent="0.3">
      <c r="A55"/>
      <c r="B55" s="56"/>
      <c r="C55" s="56"/>
      <c r="D55" s="56"/>
      <c r="E55" s="56"/>
      <c r="F55" s="56"/>
      <c r="G55" s="68"/>
      <c r="H55" s="68"/>
      <c r="I55" s="56"/>
      <c r="J55" s="56"/>
      <c r="K55" s="56"/>
      <c r="L55" s="70" t="s">
        <v>508</v>
      </c>
      <c r="M55" s="56" t="s">
        <v>508</v>
      </c>
      <c r="N55" s="70" t="s">
        <v>508</v>
      </c>
      <c r="O55" s="72"/>
      <c r="P55" s="72"/>
      <c r="Q55" s="72"/>
      <c r="R55" s="72"/>
      <c r="S55" s="72"/>
      <c r="T55" s="73"/>
      <c r="U55" s="73"/>
      <c r="V55" s="73"/>
      <c r="W55" s="73"/>
    </row>
    <row r="56" spans="1:24" s="29" customFormat="1" ht="15.75" customHeight="1" thickTop="1" x14ac:dyDescent="0.25">
      <c r="A56"/>
      <c r="B56" s="74"/>
      <c r="C56" s="74"/>
      <c r="D56" s="74"/>
      <c r="E56" s="74"/>
      <c r="F56" s="74"/>
      <c r="G56" s="75"/>
      <c r="H56" s="75"/>
      <c r="I56" s="74"/>
      <c r="J56" s="74"/>
      <c r="K56" s="74"/>
      <c r="L56" s="74" t="s">
        <v>508</v>
      </c>
      <c r="M56" s="74" t="s">
        <v>508</v>
      </c>
      <c r="N56" s="74" t="s">
        <v>508</v>
      </c>
      <c r="O56" s="56"/>
      <c r="P56" s="56"/>
      <c r="Q56" s="56"/>
      <c r="R56" s="56"/>
      <c r="S56" s="56"/>
      <c r="T56" s="76"/>
      <c r="U56" s="66"/>
      <c r="V56" s="66"/>
      <c r="W56" s="66"/>
      <c r="X56" s="44"/>
    </row>
    <row r="57" spans="1:24" s="29" customFormat="1" ht="15.75" customHeight="1" x14ac:dyDescent="0.25">
      <c r="A57"/>
      <c r="B57" s="56" t="s">
        <v>28</v>
      </c>
      <c r="C57" s="56" t="s">
        <v>87</v>
      </c>
      <c r="D57" s="56" t="s">
        <v>88</v>
      </c>
      <c r="E57" s="56" t="s">
        <v>89</v>
      </c>
      <c r="F57" s="56"/>
      <c r="G57" s="68">
        <v>10398.15</v>
      </c>
      <c r="H57" s="68"/>
      <c r="I57" s="69"/>
      <c r="J57" s="69">
        <f>100*M57/(10398.147*1000)</f>
        <v>9.5209271421148399E-4</v>
      </c>
      <c r="K57" s="69"/>
      <c r="L57" s="70" t="s">
        <v>508</v>
      </c>
      <c r="M57" s="56">
        <v>99</v>
      </c>
      <c r="N57" s="70" t="s">
        <v>508</v>
      </c>
      <c r="O57" s="56">
        <v>2017</v>
      </c>
      <c r="P57" s="56"/>
      <c r="Q57" s="56"/>
      <c r="R57" s="56"/>
      <c r="S57" s="56"/>
      <c r="T57" s="66" t="s">
        <v>528</v>
      </c>
      <c r="U57" s="66"/>
      <c r="V57" s="71" t="s">
        <v>1568</v>
      </c>
      <c r="W57" s="66" t="s">
        <v>1471</v>
      </c>
    </row>
    <row r="58" spans="1:24" s="29" customFormat="1" ht="15.75" customHeight="1" x14ac:dyDescent="0.25">
      <c r="A58"/>
      <c r="B58" s="56" t="s">
        <v>28</v>
      </c>
      <c r="C58" s="56" t="s">
        <v>87</v>
      </c>
      <c r="D58" s="56" t="s">
        <v>90</v>
      </c>
      <c r="E58" s="56" t="s">
        <v>581</v>
      </c>
      <c r="F58" s="56"/>
      <c r="G58" s="68">
        <v>362.22</v>
      </c>
      <c r="H58" s="68"/>
      <c r="I58" s="69"/>
      <c r="J58" s="69">
        <f>100*M58/(362.219*1000)</f>
        <v>2.7331531476813751E-2</v>
      </c>
      <c r="K58" s="69"/>
      <c r="L58" s="70" t="s">
        <v>508</v>
      </c>
      <c r="M58" s="56">
        <v>99</v>
      </c>
      <c r="N58" s="70" t="s">
        <v>508</v>
      </c>
      <c r="O58" s="56">
        <v>2015</v>
      </c>
      <c r="P58" s="56"/>
      <c r="Q58" s="56"/>
      <c r="R58" s="56"/>
      <c r="S58" s="56"/>
      <c r="T58" s="66" t="s">
        <v>528</v>
      </c>
      <c r="U58" s="66"/>
      <c r="V58" s="71" t="s">
        <v>1568</v>
      </c>
      <c r="W58" s="66" t="s">
        <v>1471</v>
      </c>
    </row>
    <row r="59" spans="1:24" s="29" customFormat="1" ht="15.75" customHeight="1" x14ac:dyDescent="0.25">
      <c r="A59"/>
      <c r="B59" s="56" t="s">
        <v>28</v>
      </c>
      <c r="C59" s="56" t="s">
        <v>87</v>
      </c>
      <c r="D59" s="56" t="s">
        <v>102</v>
      </c>
      <c r="E59" s="56" t="s">
        <v>103</v>
      </c>
      <c r="F59" s="56"/>
      <c r="G59" s="68">
        <v>13778.05</v>
      </c>
      <c r="H59" s="68"/>
      <c r="I59" s="69"/>
      <c r="J59" s="69">
        <f>100*M59/(13778.053*1000)</f>
        <v>1.0886879299999789E-2</v>
      </c>
      <c r="K59" s="69"/>
      <c r="L59" s="70" t="s">
        <v>508</v>
      </c>
      <c r="M59" s="56">
        <v>1500</v>
      </c>
      <c r="N59" s="70" t="s">
        <v>508</v>
      </c>
      <c r="O59" s="56">
        <v>2018</v>
      </c>
      <c r="P59" s="56"/>
      <c r="Q59" s="56"/>
      <c r="R59" s="56"/>
      <c r="S59" s="56"/>
      <c r="T59" s="66" t="s">
        <v>528</v>
      </c>
      <c r="U59" s="66"/>
      <c r="V59" s="71" t="s">
        <v>1568</v>
      </c>
      <c r="W59" s="66"/>
    </row>
    <row r="60" spans="1:24" s="29" customFormat="1" ht="15.75" customHeight="1" x14ac:dyDescent="0.25">
      <c r="A60"/>
      <c r="B60" s="56" t="s">
        <v>28</v>
      </c>
      <c r="C60" s="56" t="s">
        <v>87</v>
      </c>
      <c r="D60" s="56" t="s">
        <v>104</v>
      </c>
      <c r="E60" s="56" t="s">
        <v>105</v>
      </c>
      <c r="F60" s="56"/>
      <c r="G60" s="68">
        <v>2467.5700000000002</v>
      </c>
      <c r="H60" s="68"/>
      <c r="I60" s="69">
        <f>100*L60/(2476.271*1000)</f>
        <v>8.4804934516456404E-2</v>
      </c>
      <c r="J60" s="69"/>
      <c r="K60" s="69">
        <f>100*N60/(2476.271*1000)</f>
        <v>0.18172485967812085</v>
      </c>
      <c r="L60" s="70">
        <v>2100</v>
      </c>
      <c r="M60" s="70"/>
      <c r="N60" s="70">
        <v>4500</v>
      </c>
      <c r="O60" s="56">
        <v>2017</v>
      </c>
      <c r="P60" s="56"/>
      <c r="Q60" s="56"/>
      <c r="R60" s="56"/>
      <c r="S60" s="56"/>
      <c r="T60" s="66"/>
      <c r="U60" s="66" t="s">
        <v>737</v>
      </c>
      <c r="V60" s="66" t="s">
        <v>1290</v>
      </c>
      <c r="W60" s="66"/>
    </row>
    <row r="61" spans="1:24" s="29" customFormat="1" ht="15.75" customHeight="1" x14ac:dyDescent="0.25">
      <c r="A61"/>
      <c r="B61" s="56" t="s">
        <v>28</v>
      </c>
      <c r="C61" s="56" t="s">
        <v>87</v>
      </c>
      <c r="D61" s="56" t="s">
        <v>108</v>
      </c>
      <c r="E61" s="56" t="s">
        <v>109</v>
      </c>
      <c r="F61" s="56"/>
      <c r="G61" s="68">
        <v>2913.5</v>
      </c>
      <c r="H61" s="68"/>
      <c r="I61" s="69"/>
      <c r="J61" s="69">
        <f>100*M61/(2913.492*1000)</f>
        <v>1.3729229392083452E-2</v>
      </c>
      <c r="K61" s="69"/>
      <c r="L61" s="70" t="s">
        <v>508</v>
      </c>
      <c r="M61" s="56">
        <v>400</v>
      </c>
      <c r="N61" s="70" t="s">
        <v>508</v>
      </c>
      <c r="O61" s="56">
        <v>2017</v>
      </c>
      <c r="P61" s="56"/>
      <c r="Q61" s="56"/>
      <c r="R61" s="56"/>
      <c r="S61" s="56"/>
      <c r="T61" s="66" t="s">
        <v>528</v>
      </c>
      <c r="U61" s="66"/>
      <c r="V61" s="71" t="s">
        <v>1568</v>
      </c>
      <c r="W61" s="66"/>
    </row>
    <row r="62" spans="1:24" s="29" customFormat="1" ht="15.75" customHeight="1" x14ac:dyDescent="0.25">
      <c r="A62"/>
      <c r="B62" s="56" t="s">
        <v>28</v>
      </c>
      <c r="C62" s="56" t="s">
        <v>87</v>
      </c>
      <c r="D62" s="56" t="s">
        <v>110</v>
      </c>
      <c r="E62" s="56" t="s">
        <v>495</v>
      </c>
      <c r="F62" s="56"/>
      <c r="G62" s="68">
        <v>42720.480000000003</v>
      </c>
      <c r="H62" s="68"/>
      <c r="I62" s="69"/>
      <c r="J62" s="69">
        <f>100*M62/(42720.476*1000)</f>
        <v>0.36469631096807065</v>
      </c>
      <c r="K62" s="69"/>
      <c r="L62" s="70"/>
      <c r="M62" s="70">
        <v>155800</v>
      </c>
      <c r="N62" s="70"/>
      <c r="O62" s="56">
        <v>2018</v>
      </c>
      <c r="P62" s="56"/>
      <c r="Q62" s="56"/>
      <c r="R62" s="56"/>
      <c r="S62" s="56" t="s">
        <v>697</v>
      </c>
      <c r="T62" s="66" t="s">
        <v>664</v>
      </c>
      <c r="U62" s="66" t="s">
        <v>1478</v>
      </c>
      <c r="V62" s="66" t="s">
        <v>1479</v>
      </c>
      <c r="W62" s="66"/>
    </row>
    <row r="63" spans="1:24" s="29" customFormat="1" ht="15.75" customHeight="1" x14ac:dyDescent="0.25">
      <c r="A63"/>
      <c r="B63" s="56" t="s">
        <v>28</v>
      </c>
      <c r="C63" s="56" t="s">
        <v>87</v>
      </c>
      <c r="D63" s="56" t="s">
        <v>121</v>
      </c>
      <c r="E63" s="56" t="s">
        <v>122</v>
      </c>
      <c r="F63" s="56"/>
      <c r="G63" s="68">
        <v>6607.41</v>
      </c>
      <c r="H63" s="68"/>
      <c r="I63" s="69"/>
      <c r="J63" s="69">
        <f>100*M63/(6607.359*1000)</f>
        <v>2.724235205019131E-2</v>
      </c>
      <c r="K63" s="69"/>
      <c r="L63" s="70" t="s">
        <v>508</v>
      </c>
      <c r="M63" s="56">
        <v>1800</v>
      </c>
      <c r="N63" s="70" t="s">
        <v>508</v>
      </c>
      <c r="O63" s="56">
        <v>2017</v>
      </c>
      <c r="P63" s="56"/>
      <c r="Q63" s="56"/>
      <c r="R63" s="56"/>
      <c r="S63" s="56"/>
      <c r="T63" s="66" t="s">
        <v>528</v>
      </c>
      <c r="U63" s="66"/>
      <c r="V63" s="71" t="s">
        <v>1568</v>
      </c>
      <c r="W63" s="66"/>
    </row>
    <row r="64" spans="1:24" s="29" customFormat="1" ht="15.75" customHeight="1" x14ac:dyDescent="0.25">
      <c r="A64"/>
      <c r="B64" s="56" t="s">
        <v>28</v>
      </c>
      <c r="C64" s="56" t="s">
        <v>87</v>
      </c>
      <c r="D64" s="56" t="s">
        <v>91</v>
      </c>
      <c r="E64" s="56" t="s">
        <v>92</v>
      </c>
      <c r="F64" s="56"/>
      <c r="G64" s="68">
        <v>2680.39</v>
      </c>
      <c r="H64" s="68"/>
      <c r="I64" s="56"/>
      <c r="J64" s="69">
        <f>100*M64/(2680.389*1000)</f>
        <v>0.15296287218012011</v>
      </c>
      <c r="K64" s="56"/>
      <c r="L64" s="70" t="s">
        <v>508</v>
      </c>
      <c r="M64" s="70">
        <v>4100</v>
      </c>
      <c r="N64" s="70" t="s">
        <v>508</v>
      </c>
      <c r="O64" s="56">
        <v>2017</v>
      </c>
      <c r="P64" s="56"/>
      <c r="Q64" s="56"/>
      <c r="R64" s="56"/>
      <c r="S64" s="77" t="s">
        <v>1480</v>
      </c>
      <c r="T64" s="66" t="s">
        <v>676</v>
      </c>
      <c r="U64" s="66" t="s">
        <v>1481</v>
      </c>
      <c r="V64" s="66" t="s">
        <v>1482</v>
      </c>
      <c r="W64" s="66"/>
    </row>
    <row r="65" spans="1:23" s="29" customFormat="1" ht="15.75" customHeight="1" x14ac:dyDescent="0.25">
      <c r="A65"/>
      <c r="B65" s="56" t="s">
        <v>28</v>
      </c>
      <c r="C65" s="56" t="s">
        <v>87</v>
      </c>
      <c r="D65" s="56" t="s">
        <v>125</v>
      </c>
      <c r="E65" s="56" t="s">
        <v>126</v>
      </c>
      <c r="F65" s="56"/>
      <c r="G65" s="68">
        <v>9529.2099999999991</v>
      </c>
      <c r="H65" s="68"/>
      <c r="I65" s="69">
        <f>100*L65/(9529.199*1000)</f>
        <v>5.8766744193294737E-2</v>
      </c>
      <c r="J65" s="69"/>
      <c r="K65" s="69">
        <f>100*N65/(9529.199*1000)</f>
        <v>0.10074299004564811</v>
      </c>
      <c r="L65" s="70">
        <v>5600</v>
      </c>
      <c r="M65" s="56"/>
      <c r="N65" s="70">
        <v>9600</v>
      </c>
      <c r="O65" s="56">
        <v>2018</v>
      </c>
      <c r="P65" s="56"/>
      <c r="Q65" s="56"/>
      <c r="R65" s="56"/>
      <c r="S65" s="56"/>
      <c r="T65" s="66" t="s">
        <v>528</v>
      </c>
      <c r="U65" s="66"/>
      <c r="V65" s="71" t="s">
        <v>1568</v>
      </c>
      <c r="W65" s="66"/>
    </row>
    <row r="66" spans="1:23" s="29" customFormat="1" ht="15.75" customHeight="1" x14ac:dyDescent="0.25">
      <c r="A66"/>
      <c r="B66" s="56" t="s">
        <v>28</v>
      </c>
      <c r="C66" s="56" t="s">
        <v>87</v>
      </c>
      <c r="D66" s="56" t="s">
        <v>93</v>
      </c>
      <c r="E66" s="56" t="s">
        <v>94</v>
      </c>
      <c r="F66" s="56"/>
      <c r="G66" s="68">
        <v>104569.62</v>
      </c>
      <c r="H66" s="68"/>
      <c r="I66" s="69"/>
      <c r="J66" s="69">
        <v>0.08</v>
      </c>
      <c r="K66" s="69"/>
      <c r="L66" s="70"/>
      <c r="M66" s="70">
        <v>80000</v>
      </c>
      <c r="N66" s="70"/>
      <c r="O66" s="56">
        <v>2017</v>
      </c>
      <c r="P66" s="56" t="s">
        <v>691</v>
      </c>
      <c r="Q66" s="56" t="s">
        <v>709</v>
      </c>
      <c r="R66" s="56" t="s">
        <v>693</v>
      </c>
      <c r="S66" s="56" t="s">
        <v>697</v>
      </c>
      <c r="T66" s="66" t="s">
        <v>1343</v>
      </c>
      <c r="U66" s="66" t="s">
        <v>1349</v>
      </c>
      <c r="V66" s="66" t="s">
        <v>1350</v>
      </c>
      <c r="W66" s="66" t="s">
        <v>1348</v>
      </c>
    </row>
    <row r="67" spans="1:23" s="29" customFormat="1" ht="15.75" customHeight="1" x14ac:dyDescent="0.25">
      <c r="A67"/>
      <c r="B67" s="56" t="s">
        <v>28</v>
      </c>
      <c r="C67" s="56" t="s">
        <v>87</v>
      </c>
      <c r="D67" s="56" t="s">
        <v>135</v>
      </c>
      <c r="E67" s="56" t="s">
        <v>136</v>
      </c>
      <c r="F67" s="56"/>
      <c r="G67" s="68">
        <v>8538.84</v>
      </c>
      <c r="H67" s="68"/>
      <c r="I67" s="69"/>
      <c r="J67" s="69">
        <f>100*M67/(8323.176*1000)</f>
        <v>3.5935801429646572E-2</v>
      </c>
      <c r="K67" s="69"/>
      <c r="L67" s="70"/>
      <c r="M67" s="70">
        <v>2991</v>
      </c>
      <c r="N67" s="70"/>
      <c r="O67" s="56">
        <v>2016</v>
      </c>
      <c r="P67" s="56" t="s">
        <v>706</v>
      </c>
      <c r="Q67" s="56" t="s">
        <v>692</v>
      </c>
      <c r="R67" s="56" t="s">
        <v>693</v>
      </c>
      <c r="S67" s="56" t="s">
        <v>1005</v>
      </c>
      <c r="T67" s="66" t="s">
        <v>1006</v>
      </c>
      <c r="U67" s="66" t="s">
        <v>740</v>
      </c>
      <c r="V67" s="66" t="s">
        <v>685</v>
      </c>
      <c r="W67" s="66" t="s">
        <v>1007</v>
      </c>
    </row>
    <row r="68" spans="1:23" s="29" customFormat="1" ht="15.75" customHeight="1" x14ac:dyDescent="0.25">
      <c r="A68"/>
      <c r="B68" s="56" t="s">
        <v>28</v>
      </c>
      <c r="C68" s="56" t="s">
        <v>87</v>
      </c>
      <c r="D68" s="56" t="s">
        <v>95</v>
      </c>
      <c r="E68" s="56" t="s">
        <v>96</v>
      </c>
      <c r="F68" s="56"/>
      <c r="G68" s="68">
        <v>4282.08</v>
      </c>
      <c r="H68" s="68"/>
      <c r="I68" s="69"/>
      <c r="J68" s="69">
        <f>100*M68/(3360.975*1000)</f>
        <v>4.462990650034588E-2</v>
      </c>
      <c r="K68" s="69"/>
      <c r="L68" s="70"/>
      <c r="M68" s="70">
        <v>1500</v>
      </c>
      <c r="N68" s="70"/>
      <c r="O68" s="56">
        <v>2013</v>
      </c>
      <c r="P68" s="56"/>
      <c r="Q68" s="56"/>
      <c r="R68" s="56"/>
      <c r="S68" s="56" t="s">
        <v>697</v>
      </c>
      <c r="T68" s="66" t="s">
        <v>479</v>
      </c>
      <c r="U68" s="66" t="s">
        <v>741</v>
      </c>
      <c r="V68" s="66" t="s">
        <v>514</v>
      </c>
      <c r="W68" s="66"/>
    </row>
    <row r="69" spans="1:23" s="29" customFormat="1" ht="15.75" customHeight="1" x14ac:dyDescent="0.25">
      <c r="A69"/>
      <c r="B69" s="56" t="s">
        <v>28</v>
      </c>
      <c r="C69" s="56" t="s">
        <v>87</v>
      </c>
      <c r="D69" s="56" t="s">
        <v>97</v>
      </c>
      <c r="E69" s="56" t="s">
        <v>98</v>
      </c>
      <c r="F69" s="56"/>
      <c r="G69" s="68">
        <v>4401.8</v>
      </c>
      <c r="H69" s="68"/>
      <c r="I69" s="69"/>
      <c r="J69" s="69">
        <f>100*M69/(4401.799*1000)</f>
        <v>6.1338557258066528E-2</v>
      </c>
      <c r="K69" s="69"/>
      <c r="L69" s="70"/>
      <c r="M69" s="70">
        <v>2700</v>
      </c>
      <c r="N69" s="70"/>
      <c r="O69" s="56">
        <v>2017</v>
      </c>
      <c r="P69" s="56"/>
      <c r="Q69" s="56"/>
      <c r="R69" s="56"/>
      <c r="S69" s="56" t="s">
        <v>1491</v>
      </c>
      <c r="T69" s="66" t="s">
        <v>528</v>
      </c>
      <c r="U69" s="66" t="s">
        <v>1615</v>
      </c>
      <c r="V69" s="66" t="s">
        <v>1570</v>
      </c>
      <c r="W69" s="66"/>
    </row>
    <row r="70" spans="1:23" s="29" customFormat="1" ht="15.75" customHeight="1" x14ac:dyDescent="0.25">
      <c r="A70"/>
      <c r="B70" s="56"/>
      <c r="C70" s="56"/>
      <c r="D70" s="56"/>
      <c r="E70" s="56"/>
      <c r="F70" s="56"/>
      <c r="G70" s="68"/>
      <c r="H70" s="68"/>
      <c r="I70" s="56"/>
      <c r="J70" s="56"/>
      <c r="K70" s="56"/>
      <c r="L70" s="70" t="s">
        <v>508</v>
      </c>
      <c r="M70" s="56" t="s">
        <v>508</v>
      </c>
      <c r="N70" s="70" t="s">
        <v>508</v>
      </c>
      <c r="O70" s="56"/>
      <c r="P70" s="56"/>
      <c r="Q70" s="56"/>
      <c r="R70" s="56"/>
      <c r="S70" s="56"/>
      <c r="T70" s="66"/>
      <c r="U70" s="66"/>
      <c r="V70" s="66"/>
      <c r="W70" s="66"/>
    </row>
    <row r="71" spans="1:23" s="29" customFormat="1" ht="15.75" customHeight="1" x14ac:dyDescent="0.25">
      <c r="A71"/>
      <c r="B71" s="56"/>
      <c r="C71" s="56"/>
      <c r="D71" s="56"/>
      <c r="E71" s="56"/>
      <c r="F71" s="56"/>
      <c r="G71" s="68"/>
      <c r="H71" s="68"/>
      <c r="I71" s="56"/>
      <c r="J71" s="56"/>
      <c r="K71" s="56"/>
      <c r="L71" s="70"/>
      <c r="M71" s="56"/>
      <c r="N71" s="70"/>
      <c r="O71" s="56"/>
      <c r="P71" s="56"/>
      <c r="Q71" s="56"/>
      <c r="R71" s="56"/>
      <c r="S71" s="56"/>
      <c r="T71" s="66"/>
      <c r="U71" s="66"/>
      <c r="V71" s="66"/>
      <c r="W71" s="66"/>
    </row>
    <row r="72" spans="1:23" s="29" customFormat="1" ht="15.75" customHeight="1" x14ac:dyDescent="0.25">
      <c r="A72"/>
      <c r="B72" s="56" t="s">
        <v>28</v>
      </c>
      <c r="C72" s="56" t="s">
        <v>87</v>
      </c>
      <c r="D72" s="56" t="s">
        <v>99</v>
      </c>
      <c r="E72" s="56" t="s">
        <v>100</v>
      </c>
      <c r="F72" s="56"/>
      <c r="G72" s="68">
        <v>6236.23</v>
      </c>
      <c r="H72" s="68"/>
      <c r="I72" s="69" t="s">
        <v>1645</v>
      </c>
      <c r="J72" s="69"/>
      <c r="K72" s="69"/>
      <c r="L72" s="70" t="s">
        <v>508</v>
      </c>
      <c r="M72" s="56" t="s">
        <v>508</v>
      </c>
      <c r="N72" s="70" t="s">
        <v>508</v>
      </c>
      <c r="O72" s="56"/>
      <c r="P72" s="56"/>
      <c r="Q72" s="56"/>
      <c r="R72" s="56"/>
      <c r="S72" s="56"/>
      <c r="T72" s="66"/>
      <c r="U72" s="66"/>
      <c r="V72" s="66"/>
      <c r="W72" s="66"/>
    </row>
    <row r="73" spans="1:23" s="29" customFormat="1" ht="15.75" customHeight="1" x14ac:dyDescent="0.25">
      <c r="A73"/>
      <c r="B73" s="56" t="s">
        <v>28</v>
      </c>
      <c r="C73" s="56" t="s">
        <v>87</v>
      </c>
      <c r="D73" s="56" t="s">
        <v>106</v>
      </c>
      <c r="E73" s="56" t="s">
        <v>107</v>
      </c>
      <c r="F73" s="56"/>
      <c r="G73" s="68">
        <v>7799.72</v>
      </c>
      <c r="H73" s="68"/>
      <c r="I73" s="69" t="s">
        <v>1645</v>
      </c>
      <c r="J73" s="69"/>
      <c r="K73" s="69"/>
      <c r="L73" s="70" t="s">
        <v>508</v>
      </c>
      <c r="M73" s="56" t="s">
        <v>508</v>
      </c>
      <c r="N73" s="70" t="s">
        <v>508</v>
      </c>
      <c r="O73" s="56"/>
      <c r="P73" s="56"/>
      <c r="Q73" s="56"/>
      <c r="R73" s="56"/>
      <c r="S73" s="56"/>
      <c r="T73" s="66"/>
      <c r="U73" s="66"/>
      <c r="V73" s="66"/>
      <c r="W73" s="66"/>
    </row>
    <row r="74" spans="1:23" s="29" customFormat="1" ht="15.75" customHeight="1" x14ac:dyDescent="0.25">
      <c r="A74"/>
      <c r="B74" s="56" t="s">
        <v>28</v>
      </c>
      <c r="C74" s="56" t="s">
        <v>87</v>
      </c>
      <c r="D74" s="56" t="s">
        <v>111</v>
      </c>
      <c r="E74" s="56" t="s">
        <v>112</v>
      </c>
      <c r="F74" s="56"/>
      <c r="G74" s="68">
        <v>13839.24</v>
      </c>
      <c r="H74" s="68"/>
      <c r="I74" s="69" t="s">
        <v>1645</v>
      </c>
      <c r="J74" s="69"/>
      <c r="K74" s="69"/>
      <c r="L74" s="70"/>
      <c r="M74" s="56"/>
      <c r="N74" s="70"/>
      <c r="O74" s="56"/>
      <c r="P74" s="56"/>
      <c r="Q74" s="56"/>
      <c r="R74" s="56"/>
      <c r="S74" s="56"/>
      <c r="T74" s="66"/>
      <c r="U74" s="66"/>
      <c r="V74" s="66"/>
      <c r="W74" s="66"/>
    </row>
    <row r="75" spans="1:23" s="29" customFormat="1" ht="15.75" customHeight="1" x14ac:dyDescent="0.25">
      <c r="A75"/>
      <c r="B75" s="56" t="s">
        <v>28</v>
      </c>
      <c r="C75" s="56" t="s">
        <v>87</v>
      </c>
      <c r="D75" s="56" t="s">
        <v>113</v>
      </c>
      <c r="E75" s="56" t="s">
        <v>114</v>
      </c>
      <c r="F75" s="56"/>
      <c r="G75" s="68">
        <v>790.99</v>
      </c>
      <c r="H75" s="68"/>
      <c r="I75" s="69" t="s">
        <v>1645</v>
      </c>
      <c r="J75" s="69"/>
      <c r="K75" s="69"/>
      <c r="L75" s="70" t="s">
        <v>508</v>
      </c>
      <c r="M75" s="56" t="s">
        <v>508</v>
      </c>
      <c r="N75" s="70" t="s">
        <v>508</v>
      </c>
      <c r="O75" s="56"/>
      <c r="P75" s="56"/>
      <c r="Q75" s="56"/>
      <c r="R75" s="56"/>
      <c r="S75" s="56"/>
      <c r="T75" s="66"/>
      <c r="U75" s="66"/>
      <c r="V75" s="66"/>
      <c r="W75" s="66"/>
    </row>
    <row r="76" spans="1:23" s="29" customFormat="1" ht="15.75" customHeight="1" x14ac:dyDescent="0.25">
      <c r="A76"/>
      <c r="B76" s="56" t="s">
        <v>28</v>
      </c>
      <c r="C76" s="56" t="s">
        <v>87</v>
      </c>
      <c r="D76" s="56" t="s">
        <v>115</v>
      </c>
      <c r="E76" s="56" t="s">
        <v>116</v>
      </c>
      <c r="F76" s="56"/>
      <c r="G76" s="68">
        <v>1259.07</v>
      </c>
      <c r="H76" s="68"/>
      <c r="I76" s="69" t="s">
        <v>1645</v>
      </c>
      <c r="J76" s="69"/>
      <c r="K76" s="69"/>
      <c r="L76" s="70" t="s">
        <v>508</v>
      </c>
      <c r="M76" s="56" t="s">
        <v>508</v>
      </c>
      <c r="N76" s="70" t="s">
        <v>508</v>
      </c>
      <c r="O76" s="56"/>
      <c r="P76" s="56"/>
      <c r="Q76" s="56"/>
      <c r="R76" s="56"/>
      <c r="S76" s="56"/>
      <c r="T76" s="66"/>
      <c r="U76" s="66"/>
      <c r="V76" s="66"/>
      <c r="W76" s="66"/>
    </row>
    <row r="77" spans="1:23" s="29" customFormat="1" ht="15.75" customHeight="1" x14ac:dyDescent="0.25">
      <c r="A77"/>
      <c r="B77" s="56" t="s">
        <v>28</v>
      </c>
      <c r="C77" s="56" t="s">
        <v>87</v>
      </c>
      <c r="D77" s="56" t="s">
        <v>117</v>
      </c>
      <c r="E77" s="56" t="s">
        <v>118</v>
      </c>
      <c r="F77" s="56"/>
      <c r="G77" s="68">
        <v>1211.67</v>
      </c>
      <c r="H77" s="68"/>
      <c r="I77" s="69" t="s">
        <v>1645</v>
      </c>
      <c r="J77" s="69"/>
      <c r="K77" s="69"/>
      <c r="L77" s="70" t="s">
        <v>508</v>
      </c>
      <c r="M77" s="56" t="s">
        <v>508</v>
      </c>
      <c r="N77" s="70" t="s">
        <v>508</v>
      </c>
      <c r="O77" s="56"/>
      <c r="P77" s="56"/>
      <c r="Q77" s="56"/>
      <c r="R77" s="56"/>
      <c r="S77" s="56"/>
      <c r="T77" s="66"/>
      <c r="U77" s="66"/>
      <c r="V77" s="66"/>
      <c r="W77" s="66"/>
    </row>
    <row r="78" spans="1:23" s="29" customFormat="1" ht="15.75" customHeight="1" x14ac:dyDescent="0.25">
      <c r="A78"/>
      <c r="B78" s="56" t="s">
        <v>28</v>
      </c>
      <c r="C78" s="56" t="s">
        <v>87</v>
      </c>
      <c r="D78" s="56" t="s">
        <v>119</v>
      </c>
      <c r="E78" s="56" t="s">
        <v>120</v>
      </c>
      <c r="F78" s="56"/>
      <c r="G78" s="68">
        <v>17662.32</v>
      </c>
      <c r="H78" s="68"/>
      <c r="I78" s="69" t="s">
        <v>1645</v>
      </c>
      <c r="J78" s="69"/>
      <c r="K78" s="69"/>
      <c r="L78" s="70" t="s">
        <v>508</v>
      </c>
      <c r="M78" s="56" t="s">
        <v>508</v>
      </c>
      <c r="N78" s="70" t="s">
        <v>508</v>
      </c>
      <c r="O78" s="56"/>
      <c r="P78" s="56"/>
      <c r="Q78" s="56"/>
      <c r="R78" s="56"/>
      <c r="S78" s="56"/>
      <c r="T78" s="66"/>
      <c r="U78" s="66"/>
      <c r="V78" s="66"/>
      <c r="W78" s="66"/>
    </row>
    <row r="79" spans="1:23" s="29" customFormat="1" ht="15.75" customHeight="1" x14ac:dyDescent="0.25">
      <c r="A79"/>
      <c r="B79" s="56" t="s">
        <v>28</v>
      </c>
      <c r="C79" s="56" t="s">
        <v>87</v>
      </c>
      <c r="D79" s="56" t="s">
        <v>123</v>
      </c>
      <c r="E79" s="56" t="s">
        <v>124</v>
      </c>
      <c r="F79" s="56"/>
      <c r="G79" s="68">
        <v>1027.81</v>
      </c>
      <c r="H79" s="68"/>
      <c r="I79" s="69" t="s">
        <v>1645</v>
      </c>
      <c r="J79" s="69"/>
      <c r="K79" s="69"/>
      <c r="L79" s="70" t="s">
        <v>508</v>
      </c>
      <c r="M79" s="56" t="s">
        <v>508</v>
      </c>
      <c r="N79" s="70" t="s">
        <v>508</v>
      </c>
      <c r="O79" s="56"/>
      <c r="P79" s="56"/>
      <c r="Q79" s="56"/>
      <c r="R79" s="56"/>
      <c r="S79" s="56"/>
      <c r="T79" s="66"/>
      <c r="U79" s="66"/>
      <c r="V79" s="66"/>
      <c r="W79" s="66"/>
    </row>
    <row r="80" spans="1:23" s="29" customFormat="1" ht="15.75" customHeight="1" x14ac:dyDescent="0.25">
      <c r="A80"/>
      <c r="B80" s="56" t="s">
        <v>28</v>
      </c>
      <c r="C80" s="56" t="s">
        <v>87</v>
      </c>
      <c r="D80" s="56" t="s">
        <v>127</v>
      </c>
      <c r="E80" s="56" t="s">
        <v>128</v>
      </c>
      <c r="F80" s="56"/>
      <c r="G80" s="68">
        <v>2500.0100000000002</v>
      </c>
      <c r="H80" s="68"/>
      <c r="I80" s="69" t="s">
        <v>1645</v>
      </c>
      <c r="J80" s="69"/>
      <c r="K80" s="69"/>
      <c r="L80" s="70" t="s">
        <v>508</v>
      </c>
      <c r="M80" s="56" t="s">
        <v>508</v>
      </c>
      <c r="N80" s="70" t="s">
        <v>508</v>
      </c>
      <c r="O80" s="56"/>
      <c r="P80" s="56"/>
      <c r="Q80" s="56"/>
      <c r="R80" s="56"/>
      <c r="S80" s="56"/>
      <c r="T80" s="66"/>
      <c r="U80" s="66"/>
      <c r="V80" s="66"/>
      <c r="W80" s="66"/>
    </row>
    <row r="81" spans="1:24" s="29" customFormat="1" ht="15.75" customHeight="1" x14ac:dyDescent="0.25">
      <c r="A81"/>
      <c r="B81" s="56" t="s">
        <v>28</v>
      </c>
      <c r="C81" s="56" t="s">
        <v>87</v>
      </c>
      <c r="D81" s="56" t="s">
        <v>129</v>
      </c>
      <c r="E81" s="56" t="s">
        <v>130</v>
      </c>
      <c r="F81" s="56"/>
      <c r="G81" s="68">
        <v>10642.54</v>
      </c>
      <c r="H81" s="68"/>
      <c r="I81" s="69" t="s">
        <v>1645</v>
      </c>
      <c r="J81" s="69"/>
      <c r="K81" s="69"/>
      <c r="L81" s="70" t="s">
        <v>508</v>
      </c>
      <c r="M81" s="56" t="s">
        <v>508</v>
      </c>
      <c r="N81" s="70" t="s">
        <v>508</v>
      </c>
      <c r="O81" s="56"/>
      <c r="P81" s="56"/>
      <c r="Q81" s="56"/>
      <c r="R81" s="56"/>
      <c r="S81" s="56"/>
      <c r="T81" s="66"/>
      <c r="U81" s="66"/>
      <c r="V81" s="66"/>
      <c r="W81" s="66"/>
    </row>
    <row r="82" spans="1:24" s="29" customFormat="1" ht="15.75" customHeight="1" x14ac:dyDescent="0.25">
      <c r="A82"/>
      <c r="B82" s="56" t="s">
        <v>28</v>
      </c>
      <c r="C82" s="56" t="s">
        <v>87</v>
      </c>
      <c r="D82" s="56" t="s">
        <v>131</v>
      </c>
      <c r="E82" s="56" t="s">
        <v>132</v>
      </c>
      <c r="F82" s="56"/>
      <c r="G82" s="68">
        <v>3.24</v>
      </c>
      <c r="H82" s="68"/>
      <c r="I82" s="69" t="s">
        <v>1645</v>
      </c>
      <c r="J82" s="69"/>
      <c r="K82" s="69"/>
      <c r="L82" s="70" t="s">
        <v>508</v>
      </c>
      <c r="M82" s="56" t="s">
        <v>508</v>
      </c>
      <c r="N82" s="70" t="s">
        <v>508</v>
      </c>
      <c r="O82" s="56"/>
      <c r="P82" s="56"/>
      <c r="Q82" s="56"/>
      <c r="R82" s="56"/>
      <c r="S82" s="56"/>
      <c r="T82" s="66"/>
      <c r="U82" s="66"/>
      <c r="V82" s="66"/>
      <c r="W82" s="66"/>
    </row>
    <row r="83" spans="1:24" s="29" customFormat="1" ht="15.75" customHeight="1" x14ac:dyDescent="0.25">
      <c r="A83"/>
      <c r="B83" s="56" t="s">
        <v>28</v>
      </c>
      <c r="C83" s="56" t="s">
        <v>87</v>
      </c>
      <c r="D83" s="56" t="s">
        <v>133</v>
      </c>
      <c r="E83" s="56" t="s">
        <v>134</v>
      </c>
      <c r="F83" s="56"/>
      <c r="G83" s="68">
        <v>115.13</v>
      </c>
      <c r="H83" s="68"/>
      <c r="I83" s="69" t="s">
        <v>1645</v>
      </c>
      <c r="J83" s="69"/>
      <c r="K83" s="69"/>
      <c r="L83" s="70" t="s">
        <v>508</v>
      </c>
      <c r="M83" s="56" t="s">
        <v>508</v>
      </c>
      <c r="N83" s="70" t="s">
        <v>508</v>
      </c>
      <c r="O83" s="56"/>
      <c r="P83" s="56"/>
      <c r="Q83" s="56"/>
      <c r="R83" s="56"/>
      <c r="S83" s="56"/>
      <c r="T83" s="66"/>
      <c r="U83" s="66"/>
      <c r="V83" s="66"/>
      <c r="W83" s="66"/>
    </row>
    <row r="84" spans="1:24" s="29" customFormat="1" ht="15.75" customHeight="1" x14ac:dyDescent="0.25">
      <c r="A84"/>
      <c r="B84" s="56"/>
      <c r="C84" s="56"/>
      <c r="D84" s="56"/>
      <c r="E84" s="56"/>
      <c r="F84" s="56"/>
      <c r="G84" s="68"/>
      <c r="H84" s="68"/>
      <c r="I84" s="56"/>
      <c r="J84" s="56"/>
      <c r="K84" s="56"/>
      <c r="L84" s="70" t="s">
        <v>508</v>
      </c>
      <c r="M84" s="56" t="s">
        <v>508</v>
      </c>
      <c r="N84" s="70" t="s">
        <v>508</v>
      </c>
      <c r="O84" s="56"/>
      <c r="P84" s="56"/>
      <c r="Q84" s="56"/>
      <c r="R84" s="56"/>
      <c r="S84" s="56"/>
      <c r="T84" s="66"/>
      <c r="U84" s="66"/>
      <c r="V84" s="66"/>
      <c r="W84" s="66"/>
    </row>
    <row r="85" spans="1:24" s="29" customFormat="1" ht="15.75" customHeight="1" thickBot="1" x14ac:dyDescent="0.3">
      <c r="A85"/>
      <c r="B85" s="56"/>
      <c r="C85" s="56"/>
      <c r="D85" s="56"/>
      <c r="E85" s="56"/>
      <c r="F85" s="56"/>
      <c r="G85" s="68"/>
      <c r="H85" s="68"/>
      <c r="I85" s="56"/>
      <c r="J85" s="56"/>
      <c r="K85" s="56"/>
      <c r="L85" s="70" t="s">
        <v>508</v>
      </c>
      <c r="M85" s="56" t="s">
        <v>508</v>
      </c>
      <c r="N85" s="70" t="s">
        <v>508</v>
      </c>
      <c r="O85" s="72"/>
      <c r="P85" s="72"/>
      <c r="Q85" s="72"/>
      <c r="R85" s="72"/>
      <c r="S85" s="72"/>
      <c r="T85" s="73"/>
      <c r="U85" s="73"/>
      <c r="V85" s="73"/>
      <c r="W85" s="73"/>
    </row>
    <row r="86" spans="1:24" s="29" customFormat="1" ht="15.75" customHeight="1" thickTop="1" x14ac:dyDescent="0.25">
      <c r="A86"/>
      <c r="B86" s="74"/>
      <c r="C86" s="74"/>
      <c r="D86" s="74"/>
      <c r="E86" s="74"/>
      <c r="F86" s="74"/>
      <c r="G86" s="75"/>
      <c r="H86" s="75"/>
      <c r="I86" s="74"/>
      <c r="J86" s="74"/>
      <c r="K86" s="74"/>
      <c r="L86" s="74" t="s">
        <v>508</v>
      </c>
      <c r="M86" s="74" t="s">
        <v>508</v>
      </c>
      <c r="N86" s="74" t="s">
        <v>508</v>
      </c>
      <c r="O86" s="56"/>
      <c r="P86" s="56"/>
      <c r="Q86" s="56"/>
      <c r="R86" s="56"/>
      <c r="S86" s="56"/>
      <c r="T86" s="76"/>
      <c r="U86" s="66"/>
      <c r="V86" s="66"/>
      <c r="W86" s="66"/>
      <c r="X86" s="44"/>
    </row>
    <row r="87" spans="1:24" s="29" customFormat="1" ht="15.75" customHeight="1" x14ac:dyDescent="0.25">
      <c r="A87"/>
      <c r="B87" s="56" t="s">
        <v>137</v>
      </c>
      <c r="C87" s="56" t="s">
        <v>152</v>
      </c>
      <c r="D87" s="56" t="s">
        <v>153</v>
      </c>
      <c r="E87" s="56" t="s">
        <v>154</v>
      </c>
      <c r="F87" s="56"/>
      <c r="G87" s="68">
        <v>24801.96</v>
      </c>
      <c r="H87" s="68"/>
      <c r="I87" s="69">
        <f>100*L87/(24299.96*1000)</f>
        <v>0.29547373740532906</v>
      </c>
      <c r="J87" s="69">
        <f>100*M87/(24299.96*1000)</f>
        <v>0.36977427123336831</v>
      </c>
      <c r="K87" s="69">
        <f>100*N87/(24299.96*1000)</f>
        <v>0.44403365273029255</v>
      </c>
      <c r="L87" s="70">
        <v>71800</v>
      </c>
      <c r="M87" s="70">
        <v>89855</v>
      </c>
      <c r="N87" s="70">
        <v>107900</v>
      </c>
      <c r="O87" s="56">
        <v>2014</v>
      </c>
      <c r="P87" s="56" t="s">
        <v>691</v>
      </c>
      <c r="Q87" s="56" t="s">
        <v>696</v>
      </c>
      <c r="R87" s="56" t="s">
        <v>693</v>
      </c>
      <c r="S87" s="56" t="s">
        <v>697</v>
      </c>
      <c r="T87" s="66" t="s">
        <v>1564</v>
      </c>
      <c r="U87" s="66" t="s">
        <v>742</v>
      </c>
      <c r="V87" s="66" t="s">
        <v>1565</v>
      </c>
      <c r="W87" s="66" t="s">
        <v>1566</v>
      </c>
    </row>
    <row r="88" spans="1:24" s="29" customFormat="1" ht="15.75" customHeight="1" x14ac:dyDescent="0.25">
      <c r="A88"/>
      <c r="B88" s="56" t="s">
        <v>137</v>
      </c>
      <c r="C88" s="56" t="s">
        <v>152</v>
      </c>
      <c r="D88" s="56" t="s">
        <v>155</v>
      </c>
      <c r="E88" s="56" t="s">
        <v>156</v>
      </c>
      <c r="F88" s="56"/>
      <c r="G88" s="68">
        <v>83562.91</v>
      </c>
      <c r="H88" s="68"/>
      <c r="I88" s="69"/>
      <c r="J88" s="69">
        <f>100*M88/(84512.801*1000)</f>
        <v>0.12906802130484352</v>
      </c>
      <c r="K88" s="69"/>
      <c r="L88" s="70" t="s">
        <v>508</v>
      </c>
      <c r="M88" s="70">
        <v>109079</v>
      </c>
      <c r="N88" s="70" t="s">
        <v>508</v>
      </c>
      <c r="O88" s="56">
        <v>2016</v>
      </c>
      <c r="P88" s="56"/>
      <c r="Q88" s="56" t="s">
        <v>708</v>
      </c>
      <c r="R88" s="56" t="s">
        <v>693</v>
      </c>
      <c r="S88" s="56" t="s">
        <v>697</v>
      </c>
      <c r="T88" s="66" t="s">
        <v>1012</v>
      </c>
      <c r="U88" s="66" t="s">
        <v>742</v>
      </c>
      <c r="V88" s="66" t="s">
        <v>1013</v>
      </c>
      <c r="W88" s="66"/>
    </row>
    <row r="89" spans="1:24" s="29" customFormat="1" ht="15.75" customHeight="1" x14ac:dyDescent="0.25">
      <c r="A89"/>
      <c r="B89" s="56" t="s">
        <v>137</v>
      </c>
      <c r="C89" s="56" t="s">
        <v>152</v>
      </c>
      <c r="D89" s="56" t="s">
        <v>157</v>
      </c>
      <c r="E89" s="56" t="s">
        <v>158</v>
      </c>
      <c r="F89" s="56"/>
      <c r="G89" s="68">
        <v>214193.44</v>
      </c>
      <c r="H89" s="68"/>
      <c r="I89" s="69">
        <f>100*L89/(1000*204045.922)</f>
        <v>0.64529738555617888</v>
      </c>
      <c r="J89" s="69">
        <f>100*M89/(1000*204045.922)</f>
        <v>0.74495681418225057</v>
      </c>
      <c r="K89" s="69">
        <f>100*N89/(1000*204045.922)</f>
        <v>0.84461624280832237</v>
      </c>
      <c r="L89" s="70">
        <v>1316703</v>
      </c>
      <c r="M89" s="70">
        <v>1520054</v>
      </c>
      <c r="N89" s="70">
        <v>1723405</v>
      </c>
      <c r="O89" s="56">
        <v>2007</v>
      </c>
      <c r="P89" s="56" t="s">
        <v>946</v>
      </c>
      <c r="Q89" s="56" t="s">
        <v>709</v>
      </c>
      <c r="R89" s="56" t="s">
        <v>693</v>
      </c>
      <c r="S89" s="56" t="s">
        <v>697</v>
      </c>
      <c r="T89" s="66" t="s">
        <v>11</v>
      </c>
      <c r="U89" s="66" t="s">
        <v>743</v>
      </c>
      <c r="V89" s="66" t="s">
        <v>567</v>
      </c>
      <c r="W89" s="66" t="s">
        <v>899</v>
      </c>
    </row>
    <row r="90" spans="1:24" s="29" customFormat="1" ht="15.75" customHeight="1" x14ac:dyDescent="0.25">
      <c r="A90"/>
      <c r="B90" s="56"/>
      <c r="C90" s="56"/>
      <c r="D90" s="56"/>
      <c r="E90" s="56"/>
      <c r="F90" s="56"/>
      <c r="G90" s="68"/>
      <c r="H90" s="68"/>
      <c r="I90" s="56"/>
      <c r="J90" s="56"/>
      <c r="K90" s="56"/>
      <c r="L90" s="70" t="s">
        <v>508</v>
      </c>
      <c r="M90" s="70" t="s">
        <v>508</v>
      </c>
      <c r="N90" s="70" t="s">
        <v>508</v>
      </c>
      <c r="O90" s="56"/>
      <c r="P90" s="56"/>
      <c r="Q90" s="56"/>
      <c r="R90" s="56"/>
      <c r="S90" s="56"/>
      <c r="T90" s="66"/>
      <c r="U90" s="66"/>
      <c r="V90" s="66"/>
      <c r="W90" s="66"/>
    </row>
    <row r="91" spans="1:24" s="29" customFormat="1" ht="15.75" customHeight="1" x14ac:dyDescent="0.25">
      <c r="A91"/>
      <c r="B91" s="78"/>
      <c r="C91" s="56"/>
      <c r="D91" s="56"/>
      <c r="E91" s="56"/>
      <c r="F91" s="56"/>
      <c r="G91" s="49"/>
      <c r="H91" s="68"/>
      <c r="I91" s="50"/>
      <c r="J91" s="50"/>
      <c r="K91" s="50"/>
      <c r="L91" s="50"/>
      <c r="M91" s="50"/>
      <c r="N91" s="50"/>
      <c r="O91" s="56"/>
      <c r="P91" s="56"/>
      <c r="Q91" s="56"/>
      <c r="R91" s="56"/>
      <c r="S91" s="56"/>
      <c r="T91" s="66"/>
      <c r="U91" s="66"/>
      <c r="V91" s="66"/>
      <c r="W91" s="66"/>
    </row>
    <row r="92" spans="1:24" s="29" customFormat="1" ht="15.75" customHeight="1" x14ac:dyDescent="0.25">
      <c r="A92"/>
      <c r="B92" s="56" t="s">
        <v>137</v>
      </c>
      <c r="C92" s="56" t="s">
        <v>152</v>
      </c>
      <c r="D92" s="56" t="s">
        <v>194</v>
      </c>
      <c r="E92" s="56" t="s">
        <v>195</v>
      </c>
      <c r="F92" s="56"/>
      <c r="G92" s="68">
        <v>45.941000000000003</v>
      </c>
      <c r="H92" s="68"/>
      <c r="I92" s="69" t="s">
        <v>1645</v>
      </c>
      <c r="J92" s="69"/>
      <c r="K92" s="69"/>
      <c r="L92" s="79" t="s">
        <v>508</v>
      </c>
      <c r="M92" s="79" t="s">
        <v>508</v>
      </c>
      <c r="N92" s="79" t="s">
        <v>508</v>
      </c>
      <c r="O92" s="56"/>
      <c r="P92" s="56"/>
      <c r="Q92" s="56"/>
      <c r="R92" s="56"/>
      <c r="S92" s="56"/>
      <c r="T92" s="66"/>
      <c r="U92" s="66"/>
      <c r="V92" s="66"/>
      <c r="W92" s="66"/>
    </row>
    <row r="93" spans="1:24" s="29" customFormat="1" ht="15.75" customHeight="1" x14ac:dyDescent="0.25">
      <c r="A93"/>
      <c r="B93" s="56" t="s">
        <v>137</v>
      </c>
      <c r="C93" s="56" t="s">
        <v>152</v>
      </c>
      <c r="D93" s="56" t="s">
        <v>383</v>
      </c>
      <c r="E93" s="56" t="s">
        <v>384</v>
      </c>
      <c r="F93" s="56"/>
      <c r="G93" s="68">
        <v>40.055</v>
      </c>
      <c r="H93" s="68"/>
      <c r="I93" s="69" t="s">
        <v>1645</v>
      </c>
      <c r="J93" s="69"/>
      <c r="K93" s="69"/>
      <c r="L93" s="70" t="s">
        <v>508</v>
      </c>
      <c r="M93" s="70" t="s">
        <v>508</v>
      </c>
      <c r="N93" s="70" t="s">
        <v>508</v>
      </c>
      <c r="O93" s="56"/>
      <c r="P93" s="56"/>
      <c r="Q93" s="56"/>
      <c r="R93" s="56"/>
      <c r="S93" s="56"/>
      <c r="T93" s="66"/>
      <c r="U93" s="66"/>
      <c r="V93" s="66"/>
      <c r="W93" s="66"/>
    </row>
    <row r="94" spans="1:24" s="29" customFormat="1" ht="15.75" customHeight="1" thickBot="1" x14ac:dyDescent="0.3">
      <c r="A94"/>
      <c r="B94" s="78"/>
      <c r="C94" s="56"/>
      <c r="D94" s="56"/>
      <c r="E94" s="56"/>
      <c r="F94" s="56"/>
      <c r="G94" s="49"/>
      <c r="H94" s="68"/>
      <c r="I94" s="50"/>
      <c r="J94" s="50"/>
      <c r="K94" s="50"/>
      <c r="L94" s="50"/>
      <c r="M94" s="50"/>
      <c r="N94" s="50"/>
      <c r="O94" s="56"/>
      <c r="P94" s="56"/>
      <c r="Q94" s="56"/>
      <c r="R94" s="56"/>
      <c r="S94" s="56"/>
      <c r="T94" s="66"/>
      <c r="U94" s="66"/>
      <c r="V94" s="66"/>
      <c r="W94" s="66"/>
    </row>
    <row r="95" spans="1:24" s="29" customFormat="1" ht="15.75" customHeight="1" thickTop="1" x14ac:dyDescent="0.25">
      <c r="A95"/>
      <c r="B95" s="51"/>
      <c r="C95" s="74"/>
      <c r="D95" s="74"/>
      <c r="E95" s="74"/>
      <c r="F95" s="74"/>
      <c r="G95" s="75"/>
      <c r="H95" s="75"/>
      <c r="I95" s="74"/>
      <c r="J95" s="74"/>
      <c r="K95" s="74"/>
      <c r="L95" s="74" t="s">
        <v>508</v>
      </c>
      <c r="M95" s="74" t="s">
        <v>508</v>
      </c>
      <c r="N95" s="74" t="s">
        <v>508</v>
      </c>
      <c r="O95" s="56"/>
      <c r="P95" s="56"/>
      <c r="Q95" s="56"/>
      <c r="R95" s="56"/>
      <c r="S95" s="56"/>
      <c r="T95" s="76"/>
      <c r="U95" s="66"/>
      <c r="V95" s="66"/>
      <c r="W95" s="66"/>
      <c r="X95" s="44"/>
    </row>
    <row r="96" spans="1:24" s="29" customFormat="1" ht="15.75" customHeight="1" x14ac:dyDescent="0.25">
      <c r="A96"/>
      <c r="B96" s="80"/>
      <c r="C96" s="80"/>
      <c r="D96" s="80"/>
      <c r="E96" s="80"/>
      <c r="F96" s="80"/>
      <c r="G96" s="81"/>
      <c r="H96" s="81"/>
      <c r="I96" s="80"/>
      <c r="J96" s="80"/>
      <c r="K96" s="80"/>
      <c r="L96" s="80"/>
      <c r="M96" s="80"/>
      <c r="N96" s="80"/>
      <c r="O96" s="56"/>
      <c r="P96" s="56"/>
      <c r="Q96" s="56"/>
      <c r="R96" s="56"/>
      <c r="S96" s="56"/>
      <c r="T96" s="76"/>
      <c r="U96" s="66"/>
      <c r="V96" s="66"/>
      <c r="W96" s="66"/>
      <c r="X96" s="41"/>
    </row>
    <row r="97" spans="1:28" s="29" customFormat="1" ht="15.75" customHeight="1" x14ac:dyDescent="0.25">
      <c r="A97"/>
      <c r="B97" s="80" t="s">
        <v>137</v>
      </c>
      <c r="C97" s="80" t="s">
        <v>1643</v>
      </c>
      <c r="D97" s="80" t="s">
        <v>140</v>
      </c>
      <c r="E97" s="80" t="s">
        <v>141</v>
      </c>
      <c r="F97" s="80"/>
      <c r="G97" s="68">
        <v>3455.89</v>
      </c>
      <c r="H97" s="81"/>
      <c r="I97" s="82"/>
      <c r="J97" s="83">
        <f>100*M97/(3379.344*1000)</f>
        <v>6.2142238256892462E-4</v>
      </c>
      <c r="K97" s="82"/>
      <c r="L97" s="80"/>
      <c r="M97" s="84">
        <v>21</v>
      </c>
      <c r="N97" s="80"/>
      <c r="O97" s="56">
        <v>2017</v>
      </c>
      <c r="P97" s="56"/>
      <c r="Q97" s="56"/>
      <c r="R97" s="56"/>
      <c r="S97" s="56" t="s">
        <v>710</v>
      </c>
      <c r="T97" s="76" t="s">
        <v>480</v>
      </c>
      <c r="U97" s="66" t="s">
        <v>744</v>
      </c>
      <c r="V97" s="66" t="s">
        <v>1298</v>
      </c>
      <c r="W97" s="66"/>
      <c r="X97" s="41"/>
    </row>
    <row r="98" spans="1:28" s="29" customFormat="1" ht="15.75" customHeight="1" x14ac:dyDescent="0.25">
      <c r="A98"/>
      <c r="B98" s="80" t="s">
        <v>137</v>
      </c>
      <c r="C98" s="80" t="s">
        <v>1643</v>
      </c>
      <c r="D98" s="80" t="s">
        <v>142</v>
      </c>
      <c r="E98" s="80" t="s">
        <v>143</v>
      </c>
      <c r="F98" s="80"/>
      <c r="G98" s="68">
        <v>4146.59</v>
      </c>
      <c r="H98" s="81"/>
      <c r="I98" s="82"/>
      <c r="J98" s="82">
        <f>100*M98/(3932.951*1000)</f>
        <v>0.16608394053218564</v>
      </c>
      <c r="K98" s="82"/>
      <c r="L98" s="80"/>
      <c r="M98" s="84">
        <v>6532</v>
      </c>
      <c r="N98" s="80"/>
      <c r="O98" s="56">
        <v>2014</v>
      </c>
      <c r="P98" s="56"/>
      <c r="Q98" s="56" t="s">
        <v>708</v>
      </c>
      <c r="R98" s="56"/>
      <c r="S98" s="56" t="s">
        <v>697</v>
      </c>
      <c r="T98" s="76" t="s">
        <v>480</v>
      </c>
      <c r="U98" s="66" t="s">
        <v>742</v>
      </c>
      <c r="V98" s="66" t="s">
        <v>1141</v>
      </c>
      <c r="W98" s="66"/>
      <c r="X98" s="41"/>
    </row>
    <row r="99" spans="1:28" s="29" customFormat="1" ht="15.75" customHeight="1" x14ac:dyDescent="0.25">
      <c r="A99"/>
      <c r="B99" s="56" t="s">
        <v>137</v>
      </c>
      <c r="C99" s="80" t="s">
        <v>1643</v>
      </c>
      <c r="D99" s="56" t="s">
        <v>144</v>
      </c>
      <c r="E99" s="56" t="s">
        <v>145</v>
      </c>
      <c r="F99" s="56"/>
      <c r="G99" s="68">
        <v>10478.51</v>
      </c>
      <c r="H99" s="68"/>
      <c r="I99" s="69"/>
      <c r="J99" s="69">
        <f>100*2500/(7520.071*1000)</f>
        <v>3.32443669747267E-2</v>
      </c>
      <c r="K99" s="69"/>
      <c r="L99" s="70" t="s">
        <v>508</v>
      </c>
      <c r="M99" s="70">
        <v>2500</v>
      </c>
      <c r="N99" s="70" t="s">
        <v>508</v>
      </c>
      <c r="O99" s="56">
        <v>2009</v>
      </c>
      <c r="P99" s="56"/>
      <c r="Q99" s="56"/>
      <c r="R99" s="56"/>
      <c r="S99" s="56"/>
      <c r="T99" s="66" t="s">
        <v>480</v>
      </c>
      <c r="U99" s="66" t="s">
        <v>745</v>
      </c>
      <c r="V99" s="66" t="s">
        <v>1136</v>
      </c>
      <c r="W99" s="66" t="s">
        <v>947</v>
      </c>
    </row>
    <row r="100" spans="1:28" s="29" customFormat="1" ht="15.75" customHeight="1" x14ac:dyDescent="0.25">
      <c r="A100"/>
      <c r="B100" s="56"/>
      <c r="C100" s="56"/>
      <c r="D100" s="56"/>
      <c r="E100" s="56"/>
      <c r="F100" s="56"/>
      <c r="G100" s="68"/>
      <c r="H100" s="68"/>
      <c r="I100" s="69"/>
      <c r="J100" s="69"/>
      <c r="K100" s="69"/>
      <c r="L100" s="70"/>
      <c r="M100" s="70"/>
      <c r="N100" s="70"/>
      <c r="O100" s="56"/>
      <c r="P100" s="56"/>
      <c r="Q100" s="56"/>
      <c r="R100" s="56"/>
      <c r="S100" s="56"/>
      <c r="T100" s="66"/>
      <c r="U100" s="66"/>
      <c r="V100" s="66"/>
      <c r="W100" s="66"/>
    </row>
    <row r="101" spans="1:28" s="29" customFormat="1" ht="15.75" customHeight="1" x14ac:dyDescent="0.25">
      <c r="A101"/>
      <c r="B101" s="56"/>
      <c r="C101" s="56"/>
      <c r="D101" s="56"/>
      <c r="E101" s="56"/>
      <c r="F101" s="56"/>
      <c r="G101" s="68"/>
      <c r="H101" s="68"/>
      <c r="I101" s="69"/>
      <c r="J101" s="69"/>
      <c r="K101" s="69"/>
      <c r="L101" s="70"/>
      <c r="M101" s="70"/>
      <c r="N101" s="70"/>
      <c r="O101" s="56"/>
      <c r="P101" s="56"/>
      <c r="Q101" s="56"/>
      <c r="R101" s="56"/>
      <c r="S101" s="56"/>
      <c r="T101" s="66"/>
      <c r="U101" s="66"/>
      <c r="V101" s="66"/>
      <c r="W101" s="66"/>
    </row>
    <row r="102" spans="1:28" s="29" customFormat="1" ht="15.75" customHeight="1" x14ac:dyDescent="0.25">
      <c r="A102"/>
      <c r="B102" s="56" t="s">
        <v>137</v>
      </c>
      <c r="C102" s="80" t="s">
        <v>1643</v>
      </c>
      <c r="D102" s="56" t="s">
        <v>138</v>
      </c>
      <c r="E102" s="56" t="s">
        <v>139</v>
      </c>
      <c r="F102" s="56"/>
      <c r="G102" s="68">
        <v>248.94</v>
      </c>
      <c r="H102" s="68"/>
      <c r="I102" s="69" t="s">
        <v>1645</v>
      </c>
      <c r="J102" s="69"/>
      <c r="K102" s="69"/>
      <c r="L102" s="79" t="s">
        <v>508</v>
      </c>
      <c r="M102" s="79" t="s">
        <v>508</v>
      </c>
      <c r="N102" s="79" t="s">
        <v>508</v>
      </c>
      <c r="O102" s="56"/>
      <c r="P102" s="56"/>
      <c r="Q102" s="56"/>
      <c r="R102" s="56"/>
      <c r="S102" s="56"/>
      <c r="T102" s="66"/>
      <c r="U102" s="66"/>
      <c r="V102" s="66"/>
      <c r="W102" s="66"/>
    </row>
    <row r="103" spans="1:28" s="29" customFormat="1" ht="15.75" customHeight="1" x14ac:dyDescent="0.25">
      <c r="A103"/>
      <c r="B103" s="56" t="s">
        <v>137</v>
      </c>
      <c r="C103" s="80" t="s">
        <v>1643</v>
      </c>
      <c r="D103" s="56" t="s">
        <v>146</v>
      </c>
      <c r="E103" s="56" t="s">
        <v>147</v>
      </c>
      <c r="F103" s="56"/>
      <c r="G103" s="68">
        <v>6094.64</v>
      </c>
      <c r="H103" s="68"/>
      <c r="I103" s="69" t="s">
        <v>1645</v>
      </c>
      <c r="J103" s="69"/>
      <c r="K103" s="69"/>
      <c r="L103" s="79"/>
      <c r="M103" s="79"/>
      <c r="N103" s="79"/>
      <c r="O103" s="56"/>
      <c r="P103" s="56"/>
      <c r="Q103" s="56"/>
      <c r="R103" s="56"/>
      <c r="S103" s="56"/>
      <c r="T103" s="66"/>
      <c r="U103" s="66"/>
      <c r="V103" s="66"/>
      <c r="W103" s="66"/>
    </row>
    <row r="104" spans="1:28" s="29" customFormat="1" ht="15.75" customHeight="1" x14ac:dyDescent="0.25">
      <c r="A104"/>
      <c r="B104" s="56" t="s">
        <v>137</v>
      </c>
      <c r="C104" s="80" t="s">
        <v>1643</v>
      </c>
      <c r="D104" s="56" t="s">
        <v>148</v>
      </c>
      <c r="E104" s="56" t="s">
        <v>149</v>
      </c>
      <c r="F104" s="56"/>
      <c r="G104" s="68">
        <v>4173.53</v>
      </c>
      <c r="H104" s="68"/>
      <c r="I104" s="69" t="s">
        <v>1645</v>
      </c>
      <c r="J104" s="69"/>
      <c r="K104" s="69"/>
      <c r="L104" s="79" t="s">
        <v>508</v>
      </c>
      <c r="M104" s="79" t="s">
        <v>508</v>
      </c>
      <c r="N104" s="79" t="s">
        <v>508</v>
      </c>
      <c r="O104" s="56"/>
      <c r="P104" s="56"/>
      <c r="Q104" s="56"/>
      <c r="R104" s="56"/>
      <c r="S104" s="56"/>
      <c r="T104" s="66"/>
      <c r="U104" s="66"/>
      <c r="V104" s="66"/>
      <c r="W104" s="66"/>
    </row>
    <row r="105" spans="1:28" s="29" customFormat="1" ht="15.75" customHeight="1" x14ac:dyDescent="0.25">
      <c r="A105"/>
      <c r="B105" s="56" t="s">
        <v>137</v>
      </c>
      <c r="C105" s="80" t="s">
        <v>1643</v>
      </c>
      <c r="D105" s="56" t="s">
        <v>150</v>
      </c>
      <c r="E105" s="56" t="s">
        <v>151</v>
      </c>
      <c r="F105" s="56"/>
      <c r="G105" s="68">
        <v>2707.99</v>
      </c>
      <c r="H105" s="68"/>
      <c r="I105" s="69" t="s">
        <v>1645</v>
      </c>
      <c r="J105" s="69"/>
      <c r="K105" s="69"/>
      <c r="L105" s="79" t="s">
        <v>508</v>
      </c>
      <c r="M105" s="79" t="s">
        <v>508</v>
      </c>
      <c r="N105" s="79" t="s">
        <v>508</v>
      </c>
      <c r="O105" s="56"/>
      <c r="P105" s="56"/>
      <c r="Q105" s="56"/>
      <c r="R105" s="56"/>
      <c r="S105" s="56"/>
      <c r="T105" s="66"/>
      <c r="U105" s="66"/>
      <c r="V105" s="66"/>
      <c r="W105" s="66"/>
    </row>
    <row r="106" spans="1:28" s="29" customFormat="1" ht="15.75" customHeight="1" x14ac:dyDescent="0.25">
      <c r="A106"/>
      <c r="B106" s="56"/>
      <c r="C106" s="56"/>
      <c r="D106" s="56"/>
      <c r="E106" s="56"/>
      <c r="F106" s="56"/>
      <c r="G106" s="68"/>
      <c r="H106" s="68"/>
      <c r="I106" s="69"/>
      <c r="J106" s="69"/>
      <c r="K106" s="69"/>
      <c r="L106" s="70"/>
      <c r="M106" s="70"/>
      <c r="N106" s="70"/>
      <c r="O106" s="56"/>
      <c r="P106" s="56"/>
      <c r="Q106" s="56"/>
      <c r="R106" s="56"/>
      <c r="S106" s="56"/>
      <c r="T106" s="66"/>
      <c r="U106" s="66"/>
      <c r="V106" s="66"/>
      <c r="W106" s="66"/>
    </row>
    <row r="107" spans="1:28" s="29" customFormat="1" ht="15.75" customHeight="1" thickBot="1" x14ac:dyDescent="0.3">
      <c r="A107"/>
      <c r="B107" s="56"/>
      <c r="C107" s="56"/>
      <c r="D107" s="56"/>
      <c r="E107" s="56"/>
      <c r="F107" s="56"/>
      <c r="G107" s="68"/>
      <c r="H107" s="68"/>
      <c r="I107" s="56"/>
      <c r="J107" s="56"/>
      <c r="K107" s="56"/>
      <c r="L107" s="70" t="s">
        <v>508</v>
      </c>
      <c r="M107" s="56" t="s">
        <v>508</v>
      </c>
      <c r="N107" s="70" t="s">
        <v>508</v>
      </c>
      <c r="O107" s="72"/>
      <c r="P107" s="72"/>
      <c r="Q107" s="72"/>
      <c r="R107" s="72"/>
      <c r="S107" s="72"/>
      <c r="T107" s="73"/>
      <c r="U107" s="73"/>
      <c r="V107" s="73"/>
      <c r="W107" s="73"/>
    </row>
    <row r="108" spans="1:28" s="29" customFormat="1" ht="15.75" customHeight="1" thickTop="1" x14ac:dyDescent="0.25">
      <c r="A108"/>
      <c r="B108" s="74"/>
      <c r="C108" s="74"/>
      <c r="D108" s="74"/>
      <c r="E108" s="74"/>
      <c r="F108" s="74"/>
      <c r="G108" s="75"/>
      <c r="H108" s="75"/>
      <c r="I108" s="74"/>
      <c r="J108" s="74"/>
      <c r="K108" s="74"/>
      <c r="L108" s="74" t="s">
        <v>508</v>
      </c>
      <c r="M108" s="74" t="s">
        <v>508</v>
      </c>
      <c r="N108" s="74" t="s">
        <v>508</v>
      </c>
      <c r="O108" s="56"/>
      <c r="P108" s="56"/>
      <c r="Q108" s="56"/>
      <c r="R108" s="56"/>
      <c r="S108" s="56"/>
      <c r="T108" s="76"/>
      <c r="U108" s="66"/>
      <c r="V108" s="66"/>
      <c r="W108" s="66"/>
      <c r="X108" s="44"/>
    </row>
    <row r="109" spans="1:28" s="29" customFormat="1" ht="15.75" customHeight="1" x14ac:dyDescent="0.25">
      <c r="A109"/>
      <c r="B109" s="56" t="s">
        <v>137</v>
      </c>
      <c r="C109" s="56" t="s">
        <v>159</v>
      </c>
      <c r="D109" s="56" t="s">
        <v>160</v>
      </c>
      <c r="E109" s="56" t="s">
        <v>161</v>
      </c>
      <c r="F109" s="56"/>
      <c r="G109" s="68">
        <v>28444.92</v>
      </c>
      <c r="H109" s="68"/>
      <c r="I109" s="69"/>
      <c r="J109" s="69">
        <v>0.2</v>
      </c>
      <c r="K109" s="69"/>
      <c r="L109" s="70" t="s">
        <v>508</v>
      </c>
      <c r="M109" s="70">
        <v>40395</v>
      </c>
      <c r="N109" s="70" t="s">
        <v>508</v>
      </c>
      <c r="O109" s="56">
        <v>2017</v>
      </c>
      <c r="P109" s="56" t="s">
        <v>702</v>
      </c>
      <c r="Q109" s="56" t="s">
        <v>709</v>
      </c>
      <c r="R109" s="56"/>
      <c r="S109" s="56" t="s">
        <v>697</v>
      </c>
      <c r="T109" s="66" t="s">
        <v>1036</v>
      </c>
      <c r="U109" s="66" t="s">
        <v>742</v>
      </c>
      <c r="V109" s="66" t="s">
        <v>1020</v>
      </c>
      <c r="W109" s="66"/>
      <c r="AA109" s="29" t="s">
        <v>925</v>
      </c>
      <c r="AB109" s="29" t="s">
        <v>1035</v>
      </c>
    </row>
    <row r="110" spans="1:28" s="29" customFormat="1" ht="15.75" customHeight="1" x14ac:dyDescent="0.25">
      <c r="A110"/>
      <c r="B110" s="56" t="s">
        <v>137</v>
      </c>
      <c r="C110" s="56" t="s">
        <v>159</v>
      </c>
      <c r="D110" s="56" t="s">
        <v>162</v>
      </c>
      <c r="E110" s="56" t="s">
        <v>163</v>
      </c>
      <c r="F110" s="56"/>
      <c r="G110" s="68">
        <v>7008.81</v>
      </c>
      <c r="H110" s="68"/>
      <c r="I110" s="69">
        <f>100*L110/(7008.806*1000)</f>
        <v>3.244489860327137E-2</v>
      </c>
      <c r="J110" s="69"/>
      <c r="K110" s="69">
        <f>100*N110/(7008.806*1000)</f>
        <v>9.7434570167871673E-2</v>
      </c>
      <c r="L110" s="70">
        <v>2274</v>
      </c>
      <c r="M110" s="70"/>
      <c r="N110" s="70">
        <v>6829</v>
      </c>
      <c r="O110" s="56">
        <v>2018</v>
      </c>
      <c r="P110" s="56" t="s">
        <v>713</v>
      </c>
      <c r="Q110" s="85" t="s">
        <v>708</v>
      </c>
      <c r="R110" s="56"/>
      <c r="S110" s="56" t="s">
        <v>1199</v>
      </c>
      <c r="T110" s="66" t="s">
        <v>1176</v>
      </c>
      <c r="U110" s="66" t="s">
        <v>742</v>
      </c>
      <c r="V110" s="66" t="s">
        <v>1442</v>
      </c>
      <c r="W110" s="66"/>
    </row>
    <row r="111" spans="1:28" s="29" customFormat="1" ht="15.75" customHeight="1" x14ac:dyDescent="0.25">
      <c r="A111"/>
      <c r="B111" s="56" t="s">
        <v>137</v>
      </c>
      <c r="C111" s="56" t="s">
        <v>159</v>
      </c>
      <c r="D111" s="56" t="s">
        <v>164</v>
      </c>
      <c r="E111" s="56" t="s">
        <v>165</v>
      </c>
      <c r="F111" s="56"/>
      <c r="G111" s="68">
        <v>146090.35999999999</v>
      </c>
      <c r="H111" s="68"/>
      <c r="I111" s="69">
        <v>0.1</v>
      </c>
      <c r="J111" s="69">
        <v>0.2</v>
      </c>
      <c r="K111" s="69">
        <v>0.3</v>
      </c>
      <c r="L111" s="70"/>
      <c r="M111" s="70"/>
      <c r="N111" s="70"/>
      <c r="O111" s="56">
        <v>2016</v>
      </c>
      <c r="P111" s="56" t="s">
        <v>691</v>
      </c>
      <c r="Q111" s="85" t="s">
        <v>708</v>
      </c>
      <c r="R111" s="56" t="s">
        <v>693</v>
      </c>
      <c r="S111" s="56" t="s">
        <v>697</v>
      </c>
      <c r="T111" s="66" t="s">
        <v>1062</v>
      </c>
      <c r="U111" s="66" t="s">
        <v>742</v>
      </c>
      <c r="V111" s="56" t="s">
        <v>1150</v>
      </c>
      <c r="W111" s="56" t="s">
        <v>508</v>
      </c>
      <c r="X111" s="39" t="s">
        <v>508</v>
      </c>
    </row>
    <row r="112" spans="1:28" s="29" customFormat="1" ht="15.75" customHeight="1" x14ac:dyDescent="0.25">
      <c r="A112"/>
      <c r="B112" s="56" t="s">
        <v>137</v>
      </c>
      <c r="C112" s="56" t="s">
        <v>159</v>
      </c>
      <c r="D112" s="56" t="s">
        <v>166</v>
      </c>
      <c r="E112" s="56" t="s">
        <v>167</v>
      </c>
      <c r="F112" s="56"/>
      <c r="G112" s="68">
        <v>12869.97</v>
      </c>
      <c r="H112" s="68"/>
      <c r="I112" s="69"/>
      <c r="J112" s="69">
        <v>0.18</v>
      </c>
      <c r="K112" s="69"/>
      <c r="L112" s="70" t="s">
        <v>508</v>
      </c>
      <c r="M112" s="70">
        <v>16257</v>
      </c>
      <c r="N112" s="70" t="s">
        <v>508</v>
      </c>
      <c r="O112" s="56">
        <v>2010</v>
      </c>
      <c r="P112" s="56" t="s">
        <v>702</v>
      </c>
      <c r="Q112" s="56" t="s">
        <v>709</v>
      </c>
      <c r="R112" s="56" t="s">
        <v>693</v>
      </c>
      <c r="S112" s="56" t="s">
        <v>697</v>
      </c>
      <c r="T112" s="66" t="s">
        <v>19</v>
      </c>
      <c r="U112" s="66" t="s">
        <v>742</v>
      </c>
      <c r="V112" s="66" t="s">
        <v>626</v>
      </c>
      <c r="W112" s="66" t="s">
        <v>776</v>
      </c>
    </row>
    <row r="113" spans="1:27" s="29" customFormat="1" ht="15.75" customHeight="1" x14ac:dyDescent="0.25">
      <c r="A113"/>
      <c r="B113" s="56" t="s">
        <v>137</v>
      </c>
      <c r="C113" s="56" t="s">
        <v>159</v>
      </c>
      <c r="D113" s="56" t="s">
        <v>168</v>
      </c>
      <c r="E113" s="56" t="s">
        <v>169</v>
      </c>
      <c r="F113" s="56"/>
      <c r="G113" s="68">
        <v>33990.03</v>
      </c>
      <c r="H113" s="68"/>
      <c r="I113" s="69"/>
      <c r="J113" s="69">
        <v>0.1</v>
      </c>
      <c r="K113" s="69"/>
      <c r="L113" s="70"/>
      <c r="M113" s="70">
        <v>14893</v>
      </c>
      <c r="N113" s="70"/>
      <c r="O113" s="56">
        <v>2014</v>
      </c>
      <c r="P113" s="56"/>
      <c r="Q113" s="56"/>
      <c r="R113" s="56" t="s">
        <v>693</v>
      </c>
      <c r="S113" s="56" t="s">
        <v>711</v>
      </c>
      <c r="T113" s="66" t="s">
        <v>924</v>
      </c>
      <c r="U113" s="66" t="s">
        <v>746</v>
      </c>
      <c r="V113" s="66" t="s">
        <v>613</v>
      </c>
      <c r="W113" s="66" t="s">
        <v>614</v>
      </c>
    </row>
    <row r="114" spans="1:27" s="29" customFormat="1" ht="15.75" customHeight="1" x14ac:dyDescent="0.25">
      <c r="A114"/>
      <c r="B114" s="56" t="s">
        <v>137</v>
      </c>
      <c r="C114" s="56" t="s">
        <v>159</v>
      </c>
      <c r="D114" s="56" t="s">
        <v>174</v>
      </c>
      <c r="E114" s="56" t="s">
        <v>175</v>
      </c>
      <c r="F114" s="56"/>
      <c r="G114" s="68">
        <v>4460.88</v>
      </c>
      <c r="H114" s="68"/>
      <c r="I114" s="69"/>
      <c r="J114" s="69">
        <f>100*M114/(4086.042*1000)</f>
        <v>0.13984193016126609</v>
      </c>
      <c r="K114" s="69"/>
      <c r="L114" s="70"/>
      <c r="M114" s="70">
        <v>5714</v>
      </c>
      <c r="N114" s="70"/>
      <c r="O114" s="56">
        <v>2013</v>
      </c>
      <c r="P114" s="56"/>
      <c r="Q114" s="56"/>
      <c r="R114" s="56"/>
      <c r="S114" s="56"/>
      <c r="T114" s="66" t="s">
        <v>583</v>
      </c>
      <c r="U114" s="66" t="s">
        <v>747</v>
      </c>
      <c r="V114" s="66" t="s">
        <v>1142</v>
      </c>
      <c r="W114" s="66"/>
    </row>
    <row r="115" spans="1:27" s="29" customFormat="1" ht="15.75" customHeight="1" x14ac:dyDescent="0.25">
      <c r="A115"/>
      <c r="B115" s="56" t="s">
        <v>137</v>
      </c>
      <c r="C115" s="56" t="s">
        <v>159</v>
      </c>
      <c r="D115" s="56" t="s">
        <v>180</v>
      </c>
      <c r="E115" s="56" t="s">
        <v>181</v>
      </c>
      <c r="F115" s="56"/>
      <c r="G115" s="68">
        <v>2227.46</v>
      </c>
      <c r="H115" s="68"/>
      <c r="I115" s="69"/>
      <c r="J115" s="69">
        <f>100*M115/(2227.462*1000)</f>
        <v>0.21230440743770265</v>
      </c>
      <c r="K115" s="69"/>
      <c r="L115" s="70" t="s">
        <v>508</v>
      </c>
      <c r="M115" s="70">
        <v>4729</v>
      </c>
      <c r="N115" s="70" t="s">
        <v>508</v>
      </c>
      <c r="O115" s="56">
        <v>2018</v>
      </c>
      <c r="P115" s="56"/>
      <c r="Q115" s="56" t="s">
        <v>1440</v>
      </c>
      <c r="R115" s="56"/>
      <c r="S115" s="56" t="s">
        <v>712</v>
      </c>
      <c r="T115" s="66" t="s">
        <v>1012</v>
      </c>
      <c r="U115" s="66" t="s">
        <v>742</v>
      </c>
      <c r="V115" s="66" t="s">
        <v>1441</v>
      </c>
      <c r="W115" s="66"/>
      <c r="AA115" s="32" t="s">
        <v>925</v>
      </c>
    </row>
    <row r="116" spans="1:27" s="29" customFormat="1" ht="15.75" customHeight="1" x14ac:dyDescent="0.25">
      <c r="A116"/>
      <c r="B116" s="56"/>
      <c r="C116" s="56"/>
      <c r="D116" s="56"/>
      <c r="E116" s="56"/>
      <c r="F116" s="56"/>
      <c r="G116" s="68"/>
      <c r="H116" s="68"/>
      <c r="I116" s="69"/>
      <c r="J116" s="69"/>
      <c r="K116" s="69"/>
      <c r="L116" s="70"/>
      <c r="M116" s="70"/>
      <c r="N116" s="70"/>
      <c r="O116" s="56"/>
      <c r="P116" s="56"/>
      <c r="Q116" s="56"/>
      <c r="R116" s="56"/>
      <c r="S116" s="56"/>
      <c r="T116" s="66"/>
      <c r="U116" s="66"/>
      <c r="V116" s="66"/>
      <c r="W116" s="66"/>
      <c r="AA116" s="32"/>
    </row>
    <row r="117" spans="1:27" s="29" customFormat="1" ht="15.75" customHeight="1" x14ac:dyDescent="0.25">
      <c r="A117"/>
      <c r="B117" s="56"/>
      <c r="C117" s="56"/>
      <c r="D117" s="56"/>
      <c r="E117" s="56"/>
      <c r="F117" s="56"/>
      <c r="G117" s="68"/>
      <c r="H117" s="68"/>
      <c r="I117" s="69"/>
      <c r="J117" s="69"/>
      <c r="K117" s="69"/>
      <c r="L117" s="70"/>
      <c r="M117" s="70"/>
      <c r="N117" s="70"/>
      <c r="O117" s="56"/>
      <c r="P117" s="56"/>
      <c r="Q117" s="56"/>
      <c r="R117" s="56"/>
      <c r="S117" s="56"/>
      <c r="T117" s="66"/>
      <c r="U117" s="66"/>
      <c r="V117" s="66"/>
      <c r="W117" s="66"/>
    </row>
    <row r="118" spans="1:27" s="29" customFormat="1" ht="15.75" customHeight="1" x14ac:dyDescent="0.25">
      <c r="A118"/>
      <c r="B118" s="56" t="s">
        <v>137</v>
      </c>
      <c r="C118" s="56" t="s">
        <v>159</v>
      </c>
      <c r="D118" s="56" t="s">
        <v>170</v>
      </c>
      <c r="E118" s="56" t="s">
        <v>171</v>
      </c>
      <c r="F118" s="56"/>
      <c r="G118" s="68">
        <v>11073.08</v>
      </c>
      <c r="H118" s="68"/>
      <c r="I118" s="69" t="s">
        <v>1645</v>
      </c>
      <c r="J118" s="69"/>
      <c r="K118" s="69"/>
      <c r="L118" s="79" t="s">
        <v>508</v>
      </c>
      <c r="M118" s="79" t="s">
        <v>508</v>
      </c>
      <c r="N118" s="79" t="s">
        <v>508</v>
      </c>
      <c r="O118" s="56"/>
      <c r="P118" s="56"/>
      <c r="Q118" s="56"/>
      <c r="R118" s="56"/>
      <c r="S118" s="56"/>
      <c r="T118" s="66"/>
      <c r="U118" s="66"/>
      <c r="V118" s="66"/>
      <c r="W118" s="66"/>
    </row>
    <row r="119" spans="1:27" s="29" customFormat="1" ht="15.75" customHeight="1" x14ac:dyDescent="0.25">
      <c r="A119"/>
      <c r="B119" s="56" t="s">
        <v>137</v>
      </c>
      <c r="C119" s="56" t="s">
        <v>159</v>
      </c>
      <c r="D119" s="56" t="s">
        <v>184</v>
      </c>
      <c r="E119" s="56" t="s">
        <v>185</v>
      </c>
      <c r="F119" s="56"/>
      <c r="G119" s="68">
        <v>2.2000000000000002</v>
      </c>
      <c r="H119" s="68"/>
      <c r="I119" s="69" t="s">
        <v>1645</v>
      </c>
      <c r="J119" s="69"/>
      <c r="K119" s="69"/>
      <c r="L119" s="79" t="s">
        <v>508</v>
      </c>
      <c r="M119" s="79" t="s">
        <v>508</v>
      </c>
      <c r="N119" s="79" t="s">
        <v>508</v>
      </c>
      <c r="O119" s="56"/>
      <c r="P119" s="56"/>
      <c r="Q119" s="56"/>
      <c r="R119" s="56"/>
      <c r="S119" s="56"/>
      <c r="T119" s="66"/>
      <c r="U119" s="66"/>
      <c r="V119" s="66"/>
      <c r="W119" s="66"/>
    </row>
    <row r="120" spans="1:27" s="29" customFormat="1" ht="15.75" customHeight="1" x14ac:dyDescent="0.25">
      <c r="A120"/>
      <c r="B120" s="56" t="s">
        <v>137</v>
      </c>
      <c r="C120" s="56" t="s">
        <v>159</v>
      </c>
      <c r="D120" s="56" t="s">
        <v>186</v>
      </c>
      <c r="E120" s="56" t="s">
        <v>187</v>
      </c>
      <c r="F120" s="56"/>
      <c r="G120" s="68">
        <v>177.01</v>
      </c>
      <c r="H120" s="68"/>
      <c r="I120" s="69" t="s">
        <v>1645</v>
      </c>
      <c r="J120" s="69"/>
      <c r="K120" s="69"/>
      <c r="L120" s="79" t="s">
        <v>508</v>
      </c>
      <c r="M120" s="79" t="s">
        <v>508</v>
      </c>
      <c r="N120" s="79" t="s">
        <v>508</v>
      </c>
      <c r="O120" s="56"/>
      <c r="P120" s="56"/>
      <c r="Q120" s="56"/>
      <c r="R120" s="56"/>
      <c r="S120" s="56"/>
      <c r="T120" s="66"/>
      <c r="U120" s="66"/>
      <c r="V120" s="66"/>
      <c r="W120" s="66"/>
    </row>
    <row r="121" spans="1:27" s="29" customFormat="1" ht="15.75" customHeight="1" x14ac:dyDescent="0.25">
      <c r="A121"/>
      <c r="B121" s="56" t="s">
        <v>137</v>
      </c>
      <c r="C121" s="56" t="s">
        <v>159</v>
      </c>
      <c r="D121" s="56" t="s">
        <v>172</v>
      </c>
      <c r="E121" s="56" t="s">
        <v>173</v>
      </c>
      <c r="F121" s="56"/>
      <c r="G121" s="68">
        <v>508.96</v>
      </c>
      <c r="H121" s="68"/>
      <c r="I121" s="69" t="s">
        <v>1645</v>
      </c>
      <c r="J121" s="69"/>
      <c r="K121" s="69"/>
      <c r="L121" s="79" t="s">
        <v>508</v>
      </c>
      <c r="M121" s="79" t="s">
        <v>508</v>
      </c>
      <c r="N121" s="79" t="s">
        <v>508</v>
      </c>
      <c r="O121" s="56"/>
      <c r="P121" s="56"/>
      <c r="Q121" s="56"/>
      <c r="R121" s="56"/>
      <c r="S121" s="56"/>
      <c r="T121" s="66"/>
      <c r="U121" s="66"/>
      <c r="V121" s="66"/>
      <c r="W121" s="66"/>
    </row>
    <row r="122" spans="1:27" s="29" customFormat="1" ht="15.75" customHeight="1" x14ac:dyDescent="0.25">
      <c r="A122"/>
      <c r="B122" s="56" t="s">
        <v>137</v>
      </c>
      <c r="C122" s="56" t="s">
        <v>159</v>
      </c>
      <c r="D122" s="56" t="s">
        <v>176</v>
      </c>
      <c r="E122" s="56" t="s">
        <v>177</v>
      </c>
      <c r="F122" s="56"/>
      <c r="G122" s="68">
        <v>21151.61</v>
      </c>
      <c r="H122" s="68"/>
      <c r="I122" s="69" t="s">
        <v>1645</v>
      </c>
      <c r="J122" s="69"/>
      <c r="K122" s="69"/>
      <c r="L122" s="79" t="s">
        <v>508</v>
      </c>
      <c r="M122" s="79" t="s">
        <v>508</v>
      </c>
      <c r="N122" s="79" t="s">
        <v>508</v>
      </c>
      <c r="O122" s="56"/>
      <c r="P122" s="56"/>
      <c r="Q122" s="56"/>
      <c r="R122" s="56"/>
      <c r="S122" s="56"/>
      <c r="T122" s="66"/>
      <c r="U122" s="66"/>
      <c r="V122" s="66"/>
      <c r="W122" s="66"/>
    </row>
    <row r="123" spans="1:27" s="29" customFormat="1" ht="15.75" customHeight="1" x14ac:dyDescent="0.25">
      <c r="A123"/>
      <c r="B123" s="56" t="s">
        <v>137</v>
      </c>
      <c r="C123" s="56" t="s">
        <v>159</v>
      </c>
      <c r="D123" s="56" t="s">
        <v>178</v>
      </c>
      <c r="E123" s="56" t="s">
        <v>179</v>
      </c>
      <c r="F123" s="56"/>
      <c r="G123" s="68">
        <v>379.71</v>
      </c>
      <c r="H123" s="68"/>
      <c r="I123" s="69" t="s">
        <v>1645</v>
      </c>
      <c r="J123" s="69"/>
      <c r="K123" s="69"/>
      <c r="L123" s="79" t="s">
        <v>508</v>
      </c>
      <c r="M123" s="79" t="s">
        <v>508</v>
      </c>
      <c r="N123" s="79" t="s">
        <v>508</v>
      </c>
      <c r="O123" s="56"/>
      <c r="P123" s="56"/>
      <c r="Q123" s="56"/>
      <c r="R123" s="56"/>
      <c r="S123" s="56"/>
      <c r="T123" s="66"/>
      <c r="U123" s="66"/>
      <c r="V123" s="66"/>
      <c r="W123" s="66"/>
    </row>
    <row r="124" spans="1:27" s="29" customFormat="1" ht="15.75" customHeight="1" x14ac:dyDescent="0.25">
      <c r="A124"/>
      <c r="B124" s="56" t="s">
        <v>137</v>
      </c>
      <c r="C124" s="56" t="s">
        <v>159</v>
      </c>
      <c r="D124" s="56" t="s">
        <v>182</v>
      </c>
      <c r="E124" s="56" t="s">
        <v>183</v>
      </c>
      <c r="F124" s="56"/>
      <c r="G124" s="68">
        <v>18795.84</v>
      </c>
      <c r="H124" s="68"/>
      <c r="I124" s="69" t="s">
        <v>1645</v>
      </c>
      <c r="J124" s="69"/>
      <c r="K124" s="69"/>
      <c r="L124" s="79" t="s">
        <v>508</v>
      </c>
      <c r="M124" s="79" t="s">
        <v>508</v>
      </c>
      <c r="N124" s="79" t="s">
        <v>508</v>
      </c>
      <c r="O124" s="56"/>
      <c r="P124" s="56"/>
      <c r="Q124" s="56"/>
      <c r="R124" s="56"/>
      <c r="S124" s="56"/>
      <c r="T124" s="66"/>
      <c r="U124" s="66"/>
      <c r="V124" s="66"/>
      <c r="W124" s="66"/>
    </row>
    <row r="125" spans="1:27" s="29" customFormat="1" ht="15.75" customHeight="1" x14ac:dyDescent="0.25">
      <c r="A125"/>
      <c r="B125" s="56"/>
      <c r="C125" s="56"/>
      <c r="D125" s="56"/>
      <c r="E125" s="56"/>
      <c r="F125" s="56"/>
      <c r="G125" s="68"/>
      <c r="H125" s="68"/>
      <c r="I125" s="69"/>
      <c r="J125" s="69"/>
      <c r="K125" s="69"/>
      <c r="L125" s="70"/>
      <c r="M125" s="70"/>
      <c r="N125" s="70"/>
      <c r="O125" s="56"/>
      <c r="P125" s="56"/>
      <c r="Q125" s="56"/>
      <c r="R125" s="56"/>
      <c r="S125" s="56"/>
      <c r="T125" s="66"/>
      <c r="U125" s="66"/>
      <c r="V125" s="66"/>
      <c r="W125" s="66"/>
    </row>
    <row r="126" spans="1:27" s="29" customFormat="1" ht="15.75" customHeight="1" thickBot="1" x14ac:dyDescent="0.3">
      <c r="A126"/>
      <c r="B126" s="56"/>
      <c r="C126" s="56"/>
      <c r="D126" s="56"/>
      <c r="E126" s="56"/>
      <c r="F126" s="56"/>
      <c r="G126" s="68"/>
      <c r="H126" s="68"/>
      <c r="I126" s="56"/>
      <c r="J126" s="56"/>
      <c r="K126" s="56"/>
      <c r="L126" s="70" t="s">
        <v>508</v>
      </c>
      <c r="M126" s="56" t="s">
        <v>508</v>
      </c>
      <c r="N126" s="70" t="s">
        <v>508</v>
      </c>
      <c r="O126" s="72"/>
      <c r="P126" s="72"/>
      <c r="Q126" s="72"/>
      <c r="R126" s="72"/>
      <c r="S126" s="72"/>
      <c r="T126" s="73"/>
      <c r="U126" s="73"/>
      <c r="V126" s="73"/>
      <c r="W126" s="73"/>
    </row>
    <row r="127" spans="1:27" s="29" customFormat="1" ht="15.75" customHeight="1" thickTop="1" x14ac:dyDescent="0.25">
      <c r="A127"/>
      <c r="B127" s="74"/>
      <c r="C127" s="74"/>
      <c r="D127" s="74"/>
      <c r="E127" s="74"/>
      <c r="F127" s="74"/>
      <c r="G127" s="75"/>
      <c r="H127" s="75"/>
      <c r="I127" s="74"/>
      <c r="J127" s="74"/>
      <c r="K127" s="74"/>
      <c r="L127" s="74" t="s">
        <v>508</v>
      </c>
      <c r="M127" s="74" t="s">
        <v>508</v>
      </c>
      <c r="N127" s="74" t="s">
        <v>508</v>
      </c>
      <c r="O127" s="56"/>
      <c r="P127" s="56"/>
      <c r="Q127" s="56"/>
      <c r="R127" s="56"/>
      <c r="S127" s="56"/>
      <c r="T127" s="76"/>
      <c r="U127" s="66"/>
      <c r="V127" s="66"/>
      <c r="W127" s="66"/>
      <c r="X127" s="44"/>
    </row>
    <row r="128" spans="1:27" s="29" customFormat="1" ht="15.75" customHeight="1" x14ac:dyDescent="0.25">
      <c r="A128"/>
      <c r="B128" s="56" t="s">
        <v>137</v>
      </c>
      <c r="C128" s="86" t="s">
        <v>481</v>
      </c>
      <c r="D128" s="56" t="s">
        <v>198</v>
      </c>
      <c r="E128" s="56" t="s">
        <v>199</v>
      </c>
      <c r="F128" s="56"/>
      <c r="G128" s="68">
        <v>6901.27</v>
      </c>
      <c r="H128" s="68"/>
      <c r="I128" s="69">
        <f>100*L128/(6901.271*1000)</f>
        <v>1.3041076056859672E-2</v>
      </c>
      <c r="J128" s="69"/>
      <c r="K128" s="69">
        <f>100*N128/(6901.271*1000)</f>
        <v>1.7388101409146227E-2</v>
      </c>
      <c r="L128" s="87">
        <v>900</v>
      </c>
      <c r="M128" s="87"/>
      <c r="N128" s="87">
        <v>1200</v>
      </c>
      <c r="O128" s="56">
        <v>2013</v>
      </c>
      <c r="P128" s="56"/>
      <c r="Q128" s="56"/>
      <c r="R128" s="56"/>
      <c r="S128" s="56"/>
      <c r="T128" s="66" t="s">
        <v>528</v>
      </c>
      <c r="U128" s="66"/>
      <c r="V128" s="66" t="s">
        <v>1570</v>
      </c>
      <c r="W128" s="66"/>
    </row>
    <row r="129" spans="1:23" s="29" customFormat="1" ht="15.75" customHeight="1" x14ac:dyDescent="0.25">
      <c r="A129"/>
      <c r="B129" s="56" t="s">
        <v>137</v>
      </c>
      <c r="C129" s="86" t="s">
        <v>481</v>
      </c>
      <c r="D129" s="56" t="s">
        <v>206</v>
      </c>
      <c r="E129" s="56" t="s">
        <v>207</v>
      </c>
      <c r="F129" s="56"/>
      <c r="G129" s="68">
        <v>1960.19</v>
      </c>
      <c r="H129" s="68"/>
      <c r="I129" s="56"/>
      <c r="J129" s="56">
        <v>1.5</v>
      </c>
      <c r="K129" s="56"/>
      <c r="L129" s="70" t="s">
        <v>508</v>
      </c>
      <c r="M129" s="70"/>
      <c r="N129" s="70" t="s">
        <v>508</v>
      </c>
      <c r="O129" s="56" t="s">
        <v>884</v>
      </c>
      <c r="P129" s="56" t="s">
        <v>702</v>
      </c>
      <c r="Q129" s="56" t="s">
        <v>885</v>
      </c>
      <c r="R129" s="56" t="s">
        <v>693</v>
      </c>
      <c r="S129" s="56" t="s">
        <v>715</v>
      </c>
      <c r="T129" s="66" t="s">
        <v>15</v>
      </c>
      <c r="U129" s="66" t="s">
        <v>887</v>
      </c>
      <c r="V129" s="66" t="s">
        <v>886</v>
      </c>
      <c r="W129" s="66" t="s">
        <v>888</v>
      </c>
    </row>
    <row r="130" spans="1:23" s="29" customFormat="1" ht="15.75" customHeight="1" x14ac:dyDescent="0.25">
      <c r="A130"/>
      <c r="B130" s="56"/>
      <c r="C130" s="56"/>
      <c r="D130" s="56"/>
      <c r="E130" s="56"/>
      <c r="F130" s="56"/>
      <c r="G130" s="68"/>
      <c r="H130" s="68"/>
      <c r="I130" s="56"/>
      <c r="J130" s="56"/>
      <c r="K130" s="56"/>
      <c r="L130" s="70" t="s">
        <v>508</v>
      </c>
      <c r="M130" s="56" t="s">
        <v>508</v>
      </c>
      <c r="N130" s="70" t="s">
        <v>508</v>
      </c>
      <c r="O130" s="56"/>
      <c r="P130" s="56"/>
      <c r="Q130" s="56"/>
      <c r="R130" s="56"/>
      <c r="S130" s="56"/>
      <c r="T130" s="66"/>
      <c r="U130" s="66"/>
      <c r="V130" s="66"/>
      <c r="W130" s="66"/>
    </row>
    <row r="131" spans="1:23" s="29" customFormat="1" ht="15.75" customHeight="1" x14ac:dyDescent="0.25">
      <c r="A131"/>
      <c r="B131" s="56"/>
      <c r="C131" s="56"/>
      <c r="D131" s="56"/>
      <c r="E131" s="56"/>
      <c r="F131" s="56"/>
      <c r="G131" s="68"/>
      <c r="H131" s="68"/>
      <c r="I131" s="56"/>
      <c r="J131" s="56"/>
      <c r="K131" s="56"/>
      <c r="L131" s="70" t="s">
        <v>508</v>
      </c>
      <c r="M131" s="56" t="s">
        <v>508</v>
      </c>
      <c r="N131" s="70" t="s">
        <v>508</v>
      </c>
      <c r="O131" s="56"/>
      <c r="P131" s="56"/>
      <c r="Q131" s="56"/>
      <c r="R131" s="56"/>
      <c r="S131" s="56"/>
      <c r="T131" s="66"/>
      <c r="U131" s="66"/>
      <c r="V131" s="66"/>
      <c r="W131" s="66"/>
    </row>
    <row r="132" spans="1:23" s="29" customFormat="1" ht="15.75" customHeight="1" x14ac:dyDescent="0.25">
      <c r="A132"/>
      <c r="B132" s="56" t="s">
        <v>137</v>
      </c>
      <c r="C132" s="86" t="s">
        <v>481</v>
      </c>
      <c r="D132" s="56" t="s">
        <v>218</v>
      </c>
      <c r="E132" s="56" t="s">
        <v>219</v>
      </c>
      <c r="F132" s="56"/>
      <c r="G132" s="68">
        <v>9.65</v>
      </c>
      <c r="H132" s="68"/>
      <c r="I132" s="69" t="s">
        <v>1645</v>
      </c>
      <c r="J132" s="69"/>
      <c r="K132" s="69"/>
      <c r="L132" s="79" t="s">
        <v>508</v>
      </c>
      <c r="M132" s="79" t="s">
        <v>508</v>
      </c>
      <c r="N132" s="79" t="s">
        <v>508</v>
      </c>
      <c r="O132" s="56"/>
      <c r="P132" s="56"/>
      <c r="Q132" s="56"/>
      <c r="R132" s="56"/>
      <c r="S132" s="56"/>
      <c r="T132" s="66"/>
      <c r="U132" s="66"/>
      <c r="V132" s="66"/>
      <c r="W132" s="66"/>
    </row>
    <row r="133" spans="1:23" s="29" customFormat="1" ht="15.75" customHeight="1" x14ac:dyDescent="0.25">
      <c r="A133"/>
      <c r="B133" s="56" t="s">
        <v>137</v>
      </c>
      <c r="C133" s="86" t="s">
        <v>481</v>
      </c>
      <c r="D133" s="56" t="s">
        <v>188</v>
      </c>
      <c r="E133" s="56" t="s">
        <v>189</v>
      </c>
      <c r="F133" s="56"/>
      <c r="G133" s="68">
        <v>66.55</v>
      </c>
      <c r="H133" s="68"/>
      <c r="I133" s="69" t="s">
        <v>1645</v>
      </c>
      <c r="J133" s="69"/>
      <c r="K133" s="69"/>
      <c r="L133" s="79" t="s">
        <v>508</v>
      </c>
      <c r="M133" s="79" t="s">
        <v>508</v>
      </c>
      <c r="N133" s="79" t="s">
        <v>508</v>
      </c>
      <c r="O133" s="56"/>
      <c r="P133" s="56"/>
      <c r="Q133" s="56"/>
      <c r="R133" s="56"/>
      <c r="S133" s="56"/>
      <c r="T133" s="66"/>
      <c r="U133" s="66"/>
      <c r="V133" s="66"/>
      <c r="W133" s="66"/>
    </row>
    <row r="134" spans="1:23" s="29" customFormat="1" ht="15.75" customHeight="1" x14ac:dyDescent="0.25">
      <c r="A134"/>
      <c r="B134" s="56" t="s">
        <v>137</v>
      </c>
      <c r="C134" s="86" t="s">
        <v>481</v>
      </c>
      <c r="D134" s="56" t="s">
        <v>220</v>
      </c>
      <c r="E134" s="56" t="s">
        <v>221</v>
      </c>
      <c r="F134" s="56"/>
      <c r="G134" s="68">
        <v>72.66</v>
      </c>
      <c r="H134" s="68"/>
      <c r="I134" s="69" t="s">
        <v>1645</v>
      </c>
      <c r="J134" s="69"/>
      <c r="K134" s="69"/>
      <c r="L134" s="79" t="s">
        <v>508</v>
      </c>
      <c r="M134" s="79" t="s">
        <v>508</v>
      </c>
      <c r="N134" s="79" t="s">
        <v>508</v>
      </c>
      <c r="O134" s="56"/>
      <c r="P134" s="56"/>
      <c r="Q134" s="56"/>
      <c r="R134" s="56"/>
      <c r="S134" s="56"/>
      <c r="T134" s="66"/>
      <c r="U134" s="66"/>
      <c r="V134" s="66"/>
      <c r="W134" s="66"/>
    </row>
    <row r="135" spans="1:23" s="29" customFormat="1" ht="15.75" customHeight="1" x14ac:dyDescent="0.25">
      <c r="A135"/>
      <c r="B135" s="56" t="s">
        <v>137</v>
      </c>
      <c r="C135" s="86" t="s">
        <v>481</v>
      </c>
      <c r="D135" s="56" t="s">
        <v>190</v>
      </c>
      <c r="E135" s="56" t="s">
        <v>191</v>
      </c>
      <c r="F135" s="56"/>
      <c r="G135" s="68">
        <v>270.94</v>
      </c>
      <c r="H135" s="68"/>
      <c r="I135" s="69" t="s">
        <v>1645</v>
      </c>
      <c r="J135" s="69"/>
      <c r="K135" s="69"/>
      <c r="L135" s="79" t="s">
        <v>508</v>
      </c>
      <c r="M135" s="79" t="s">
        <v>508</v>
      </c>
      <c r="N135" s="79" t="s">
        <v>508</v>
      </c>
      <c r="O135" s="56"/>
      <c r="P135" s="56"/>
      <c r="Q135" s="56"/>
      <c r="R135" s="56"/>
      <c r="S135" s="56"/>
      <c r="T135" s="66"/>
      <c r="U135" s="66"/>
      <c r="V135" s="66"/>
      <c r="W135" s="66"/>
    </row>
    <row r="136" spans="1:23" s="29" customFormat="1" ht="15.75" customHeight="1" x14ac:dyDescent="0.25">
      <c r="A136"/>
      <c r="B136" s="56" t="s">
        <v>137</v>
      </c>
      <c r="C136" s="86" t="s">
        <v>481</v>
      </c>
      <c r="D136" s="56" t="s">
        <v>192</v>
      </c>
      <c r="E136" s="56" t="s">
        <v>193</v>
      </c>
      <c r="F136" s="56"/>
      <c r="G136" s="68">
        <v>191.63</v>
      </c>
      <c r="H136" s="68"/>
      <c r="I136" s="69" t="s">
        <v>1645</v>
      </c>
      <c r="J136" s="69"/>
      <c r="K136" s="69"/>
      <c r="L136" s="79" t="s">
        <v>508</v>
      </c>
      <c r="M136" s="79" t="s">
        <v>508</v>
      </c>
      <c r="N136" s="79" t="s">
        <v>508</v>
      </c>
      <c r="O136" s="56"/>
      <c r="P136" s="56"/>
      <c r="Q136" s="56"/>
      <c r="R136" s="56"/>
      <c r="S136" s="56"/>
      <c r="T136" s="66"/>
      <c r="U136" s="66"/>
      <c r="V136" s="66"/>
      <c r="W136" s="66"/>
    </row>
    <row r="137" spans="1:23" s="29" customFormat="1" ht="15.75" customHeight="1" x14ac:dyDescent="0.25">
      <c r="A137"/>
      <c r="B137" s="56" t="s">
        <v>137</v>
      </c>
      <c r="C137" s="86" t="s">
        <v>481</v>
      </c>
      <c r="D137" s="56" t="s">
        <v>1626</v>
      </c>
      <c r="E137" s="56" t="s">
        <v>1625</v>
      </c>
      <c r="F137" s="56"/>
      <c r="G137" s="68">
        <v>16.84</v>
      </c>
      <c r="H137" s="68"/>
      <c r="I137" s="69" t="s">
        <v>1645</v>
      </c>
      <c r="J137" s="69"/>
      <c r="K137" s="69"/>
      <c r="L137" s="79"/>
      <c r="M137" s="79"/>
      <c r="N137" s="79"/>
      <c r="O137" s="56"/>
      <c r="P137" s="56"/>
      <c r="Q137" s="56"/>
      <c r="R137" s="56"/>
      <c r="S137" s="56"/>
      <c r="T137" s="66"/>
      <c r="U137" s="66"/>
      <c r="V137" s="66"/>
      <c r="W137" s="66"/>
    </row>
    <row r="138" spans="1:23" s="29" customFormat="1" ht="15.75" customHeight="1" x14ac:dyDescent="0.25">
      <c r="A138"/>
      <c r="B138" s="56" t="s">
        <v>137</v>
      </c>
      <c r="C138" s="86" t="s">
        <v>481</v>
      </c>
      <c r="D138" s="56" t="s">
        <v>222</v>
      </c>
      <c r="E138" s="56" t="s">
        <v>223</v>
      </c>
      <c r="F138" s="56"/>
      <c r="G138" s="68">
        <v>19.52</v>
      </c>
      <c r="H138" s="68"/>
      <c r="I138" s="69" t="s">
        <v>1645</v>
      </c>
      <c r="J138" s="69"/>
      <c r="K138" s="69"/>
      <c r="L138" s="79" t="s">
        <v>508</v>
      </c>
      <c r="M138" s="79" t="s">
        <v>508</v>
      </c>
      <c r="N138" s="79" t="s">
        <v>508</v>
      </c>
      <c r="O138" s="56"/>
      <c r="P138" s="56"/>
      <c r="Q138" s="56"/>
      <c r="R138" s="56"/>
      <c r="S138" s="56"/>
      <c r="T138" s="66"/>
      <c r="U138" s="66"/>
      <c r="V138" s="66"/>
      <c r="W138" s="66"/>
    </row>
    <row r="139" spans="1:23" s="29" customFormat="1" ht="15.75" customHeight="1" x14ac:dyDescent="0.25">
      <c r="A139"/>
      <c r="B139" s="56" t="s">
        <v>137</v>
      </c>
      <c r="C139" s="86" t="s">
        <v>481</v>
      </c>
      <c r="D139" s="56" t="s">
        <v>224</v>
      </c>
      <c r="E139" s="56" t="s">
        <v>225</v>
      </c>
      <c r="F139" s="56"/>
      <c r="G139" s="68">
        <v>42.02</v>
      </c>
      <c r="H139" s="68"/>
      <c r="I139" s="69" t="s">
        <v>1645</v>
      </c>
      <c r="J139" s="69"/>
      <c r="K139" s="69"/>
      <c r="L139" s="79" t="s">
        <v>508</v>
      </c>
      <c r="M139" s="79" t="s">
        <v>508</v>
      </c>
      <c r="N139" s="79" t="s">
        <v>508</v>
      </c>
      <c r="O139" s="56"/>
      <c r="P139" s="56"/>
      <c r="Q139" s="56"/>
      <c r="R139" s="56"/>
      <c r="S139" s="56"/>
      <c r="T139" s="66"/>
      <c r="U139" s="66"/>
      <c r="V139" s="66"/>
      <c r="W139" s="66"/>
    </row>
    <row r="140" spans="1:23" s="29" customFormat="1" ht="15.75" customHeight="1" x14ac:dyDescent="0.25">
      <c r="A140"/>
      <c r="B140" s="56" t="s">
        <v>137</v>
      </c>
      <c r="C140" s="86" t="s">
        <v>481</v>
      </c>
      <c r="D140" s="56" t="s">
        <v>226</v>
      </c>
      <c r="E140" s="56" t="s">
        <v>227</v>
      </c>
      <c r="F140" s="56"/>
      <c r="G140" s="68">
        <v>7778.25</v>
      </c>
      <c r="H140" s="68"/>
      <c r="I140" s="69" t="s">
        <v>1645</v>
      </c>
      <c r="J140" s="69"/>
      <c r="K140" s="69"/>
      <c r="L140" s="79" t="s">
        <v>508</v>
      </c>
      <c r="M140" s="79" t="s">
        <v>508</v>
      </c>
      <c r="N140" s="79" t="s">
        <v>508</v>
      </c>
      <c r="O140" s="56"/>
      <c r="P140" s="56"/>
      <c r="Q140" s="56"/>
      <c r="R140" s="56"/>
      <c r="S140" s="56"/>
      <c r="T140" s="66"/>
      <c r="U140" s="66"/>
      <c r="V140" s="66"/>
      <c r="W140" s="66"/>
    </row>
    <row r="141" spans="1:23" s="29" customFormat="1" ht="15.75" customHeight="1" x14ac:dyDescent="0.25">
      <c r="A141"/>
      <c r="B141" s="56" t="s">
        <v>137</v>
      </c>
      <c r="C141" s="86" t="s">
        <v>481</v>
      </c>
      <c r="D141" s="56" t="s">
        <v>196</v>
      </c>
      <c r="E141" s="56" t="s">
        <v>197</v>
      </c>
      <c r="F141" s="56"/>
      <c r="G141" s="68">
        <v>46.91</v>
      </c>
      <c r="H141" s="68"/>
      <c r="I141" s="69" t="s">
        <v>1645</v>
      </c>
      <c r="J141" s="69"/>
      <c r="K141" s="69"/>
      <c r="L141" s="79" t="s">
        <v>508</v>
      </c>
      <c r="M141" s="79" t="s">
        <v>508</v>
      </c>
      <c r="N141" s="79" t="s">
        <v>508</v>
      </c>
      <c r="O141" s="56"/>
      <c r="P141" s="56"/>
      <c r="Q141" s="56"/>
      <c r="R141" s="56"/>
      <c r="S141" s="56"/>
      <c r="T141" s="66"/>
      <c r="U141" s="66"/>
      <c r="V141" s="66"/>
      <c r="W141" s="66"/>
    </row>
    <row r="142" spans="1:23" s="29" customFormat="1" ht="15.75" customHeight="1" x14ac:dyDescent="0.25">
      <c r="A142"/>
      <c r="B142" s="56" t="s">
        <v>137</v>
      </c>
      <c r="C142" s="86" t="s">
        <v>481</v>
      </c>
      <c r="D142" s="56" t="s">
        <v>200</v>
      </c>
      <c r="E142" s="56" t="s">
        <v>201</v>
      </c>
      <c r="F142" s="56"/>
      <c r="G142" s="68">
        <v>74.47</v>
      </c>
      <c r="H142" s="68"/>
      <c r="I142" s="69" t="s">
        <v>1645</v>
      </c>
      <c r="J142" s="69"/>
      <c r="K142" s="69"/>
      <c r="L142" s="79" t="s">
        <v>508</v>
      </c>
      <c r="M142" s="79" t="s">
        <v>508</v>
      </c>
      <c r="N142" s="79" t="s">
        <v>508</v>
      </c>
      <c r="O142" s="56"/>
      <c r="P142" s="56"/>
      <c r="Q142" s="56"/>
      <c r="R142" s="56"/>
      <c r="S142" s="56"/>
      <c r="T142" s="66"/>
      <c r="U142" s="66"/>
      <c r="V142" s="66"/>
      <c r="W142" s="66"/>
    </row>
    <row r="143" spans="1:23" s="29" customFormat="1" ht="15.75" customHeight="1" x14ac:dyDescent="0.25">
      <c r="A143"/>
      <c r="B143" s="56" t="s">
        <v>137</v>
      </c>
      <c r="C143" s="86" t="s">
        <v>481</v>
      </c>
      <c r="D143" s="56" t="s">
        <v>228</v>
      </c>
      <c r="E143" s="56" t="s">
        <v>229</v>
      </c>
      <c r="F143" s="56"/>
      <c r="G143" s="68">
        <v>250.46</v>
      </c>
      <c r="H143" s="68"/>
      <c r="I143" s="69" t="s">
        <v>1645</v>
      </c>
      <c r="J143" s="69"/>
      <c r="K143" s="69"/>
      <c r="L143" s="79" t="s">
        <v>508</v>
      </c>
      <c r="M143" s="79" t="s">
        <v>508</v>
      </c>
      <c r="N143" s="79" t="s">
        <v>508</v>
      </c>
      <c r="O143" s="56"/>
      <c r="P143" s="56"/>
      <c r="Q143" s="56"/>
      <c r="R143" s="56"/>
      <c r="S143" s="56"/>
      <c r="T143" s="66"/>
      <c r="U143" s="66"/>
      <c r="V143" s="66"/>
      <c r="W143" s="66"/>
    </row>
    <row r="144" spans="1:23" s="29" customFormat="1" ht="15.75" customHeight="1" x14ac:dyDescent="0.25">
      <c r="A144"/>
      <c r="B144" s="56" t="s">
        <v>137</v>
      </c>
      <c r="C144" s="86" t="s">
        <v>481</v>
      </c>
      <c r="D144" s="56" t="s">
        <v>202</v>
      </c>
      <c r="E144" s="56" t="s">
        <v>203</v>
      </c>
      <c r="F144" s="56"/>
      <c r="G144" s="68">
        <v>6875.06</v>
      </c>
      <c r="H144" s="68"/>
      <c r="I144" s="69" t="s">
        <v>1645</v>
      </c>
      <c r="J144" s="69"/>
      <c r="K144" s="69"/>
      <c r="L144" s="79" t="s">
        <v>508</v>
      </c>
      <c r="M144" s="79" t="s">
        <v>508</v>
      </c>
      <c r="N144" s="79" t="s">
        <v>508</v>
      </c>
      <c r="O144" s="56"/>
      <c r="P144" s="56"/>
      <c r="Q144" s="56"/>
      <c r="R144" s="56"/>
      <c r="S144" s="56"/>
      <c r="T144" s="66"/>
      <c r="U144" s="66"/>
      <c r="V144" s="66"/>
      <c r="W144" s="66"/>
    </row>
    <row r="145" spans="1:24" s="29" customFormat="1" ht="15.75" customHeight="1" x14ac:dyDescent="0.25">
      <c r="A145"/>
      <c r="B145" s="56" t="s">
        <v>137</v>
      </c>
      <c r="C145" s="86" t="s">
        <v>481</v>
      </c>
      <c r="D145" s="56" t="s">
        <v>204</v>
      </c>
      <c r="E145" s="56" t="s">
        <v>205</v>
      </c>
      <c r="F145" s="56"/>
      <c r="G145" s="68">
        <v>1979.65</v>
      </c>
      <c r="H145" s="68"/>
      <c r="I145" s="69" t="s">
        <v>1645</v>
      </c>
      <c r="J145" s="69"/>
      <c r="K145" s="69"/>
      <c r="L145" s="79" t="s">
        <v>508</v>
      </c>
      <c r="M145" s="79" t="s">
        <v>508</v>
      </c>
      <c r="N145" s="79" t="s">
        <v>508</v>
      </c>
      <c r="O145" s="56"/>
      <c r="P145" s="56"/>
      <c r="Q145" s="56"/>
      <c r="R145" s="56"/>
      <c r="S145" s="56"/>
      <c r="T145" s="66"/>
      <c r="U145" s="66"/>
      <c r="V145" s="66"/>
      <c r="W145" s="66"/>
    </row>
    <row r="146" spans="1:24" s="29" customFormat="1" ht="15.75" customHeight="1" x14ac:dyDescent="0.25">
      <c r="A146"/>
      <c r="B146" s="56" t="s">
        <v>137</v>
      </c>
      <c r="C146" s="86" t="s">
        <v>481</v>
      </c>
      <c r="D146" s="56" t="s">
        <v>230</v>
      </c>
      <c r="E146" s="56" t="s">
        <v>231</v>
      </c>
      <c r="F146" s="56"/>
      <c r="G146" s="68">
        <v>237.88</v>
      </c>
      <c r="H146" s="68"/>
      <c r="I146" s="69" t="s">
        <v>1645</v>
      </c>
      <c r="J146" s="69"/>
      <c r="K146" s="69"/>
      <c r="L146" s="79" t="s">
        <v>508</v>
      </c>
      <c r="M146" s="79" t="s">
        <v>508</v>
      </c>
      <c r="N146" s="79" t="s">
        <v>508</v>
      </c>
      <c r="O146" s="56"/>
      <c r="P146" s="56"/>
      <c r="Q146" s="56"/>
      <c r="R146" s="56"/>
      <c r="S146" s="56"/>
      <c r="T146" s="66"/>
      <c r="U146" s="66"/>
      <c r="V146" s="66"/>
      <c r="W146" s="66"/>
    </row>
    <row r="147" spans="1:24" s="29" customFormat="1" ht="15.75" customHeight="1" x14ac:dyDescent="0.25">
      <c r="A147"/>
      <c r="B147" s="56" t="s">
        <v>137</v>
      </c>
      <c r="C147" s="86" t="s">
        <v>481</v>
      </c>
      <c r="D147" s="56" t="s">
        <v>232</v>
      </c>
      <c r="E147" s="56" t="s">
        <v>233</v>
      </c>
      <c r="F147" s="56"/>
      <c r="G147" s="68">
        <v>3.27</v>
      </c>
      <c r="H147" s="68"/>
      <c r="I147" s="69" t="s">
        <v>1645</v>
      </c>
      <c r="J147" s="69"/>
      <c r="K147" s="69"/>
      <c r="L147" s="79" t="s">
        <v>508</v>
      </c>
      <c r="M147" s="79" t="s">
        <v>508</v>
      </c>
      <c r="N147" s="79" t="s">
        <v>508</v>
      </c>
      <c r="O147" s="56"/>
      <c r="P147" s="56"/>
      <c r="Q147" s="56"/>
      <c r="R147" s="56"/>
      <c r="S147" s="56"/>
      <c r="T147" s="66"/>
      <c r="U147" s="66"/>
      <c r="V147" s="66"/>
      <c r="W147" s="66"/>
    </row>
    <row r="148" spans="1:24" s="29" customFormat="1" ht="15.75" customHeight="1" x14ac:dyDescent="0.25">
      <c r="A148"/>
      <c r="B148" s="56" t="s">
        <v>137</v>
      </c>
      <c r="C148" s="86" t="s">
        <v>481</v>
      </c>
      <c r="D148" s="56" t="s">
        <v>4</v>
      </c>
      <c r="E148" s="56" t="s">
        <v>2</v>
      </c>
      <c r="F148" s="56"/>
      <c r="G148" s="68">
        <v>104.86</v>
      </c>
      <c r="H148" s="68"/>
      <c r="I148" s="69" t="s">
        <v>1645</v>
      </c>
      <c r="J148" s="69"/>
      <c r="K148" s="69"/>
      <c r="L148" s="79" t="s">
        <v>508</v>
      </c>
      <c r="M148" s="79" t="s">
        <v>508</v>
      </c>
      <c r="N148" s="79" t="s">
        <v>508</v>
      </c>
      <c r="O148" s="56"/>
      <c r="P148" s="56"/>
      <c r="Q148" s="56"/>
      <c r="R148" s="56"/>
      <c r="S148" s="56"/>
      <c r="T148" s="66"/>
      <c r="U148" s="66"/>
      <c r="V148" s="66"/>
      <c r="W148" s="66"/>
    </row>
    <row r="149" spans="1:24" s="29" customFormat="1" ht="15.75" customHeight="1" x14ac:dyDescent="0.25">
      <c r="A149"/>
      <c r="B149" s="56" t="s">
        <v>137</v>
      </c>
      <c r="C149" s="86" t="s">
        <v>481</v>
      </c>
      <c r="D149" s="56" t="s">
        <v>5</v>
      </c>
      <c r="E149" s="56" t="s">
        <v>1011</v>
      </c>
      <c r="F149" s="56"/>
      <c r="G149" s="68">
        <v>27.47</v>
      </c>
      <c r="H149" s="68"/>
      <c r="I149" s="69" t="s">
        <v>1645</v>
      </c>
      <c r="J149" s="69"/>
      <c r="K149" s="69"/>
      <c r="L149" s="79" t="s">
        <v>508</v>
      </c>
      <c r="M149" s="79" t="s">
        <v>508</v>
      </c>
      <c r="N149" s="79" t="s">
        <v>508</v>
      </c>
      <c r="O149" s="56"/>
      <c r="P149" s="56"/>
      <c r="Q149" s="56"/>
      <c r="R149" s="56"/>
      <c r="S149" s="56"/>
      <c r="T149" s="66"/>
      <c r="U149" s="66"/>
      <c r="V149" s="66"/>
      <c r="W149" s="66"/>
    </row>
    <row r="150" spans="1:24" s="29" customFormat="1" ht="15.75" customHeight="1" x14ac:dyDescent="0.25">
      <c r="A150"/>
      <c r="B150" s="56" t="s">
        <v>137</v>
      </c>
      <c r="C150" s="86" t="s">
        <v>481</v>
      </c>
      <c r="D150" s="56" t="s">
        <v>208</v>
      </c>
      <c r="E150" s="56" t="s">
        <v>209</v>
      </c>
      <c r="F150" s="56"/>
      <c r="G150" s="68">
        <v>34.340000000000003</v>
      </c>
      <c r="H150" s="68"/>
      <c r="I150" s="69" t="s">
        <v>1645</v>
      </c>
      <c r="J150" s="69"/>
      <c r="K150" s="69"/>
      <c r="L150" s="79" t="s">
        <v>508</v>
      </c>
      <c r="M150" s="79" t="s">
        <v>508</v>
      </c>
      <c r="N150" s="79" t="s">
        <v>508</v>
      </c>
      <c r="O150" s="56"/>
      <c r="P150" s="56"/>
      <c r="Q150" s="56"/>
      <c r="R150" s="56"/>
      <c r="S150" s="56"/>
      <c r="T150" s="66"/>
      <c r="U150" s="66"/>
      <c r="V150" s="66"/>
      <c r="W150" s="66"/>
    </row>
    <row r="151" spans="1:24" s="29" customFormat="1" ht="15.75" customHeight="1" x14ac:dyDescent="0.25">
      <c r="A151"/>
      <c r="B151" s="56" t="s">
        <v>137</v>
      </c>
      <c r="C151" s="86" t="s">
        <v>481</v>
      </c>
      <c r="D151" s="56" t="s">
        <v>210</v>
      </c>
      <c r="E151" s="56" t="s">
        <v>211</v>
      </c>
      <c r="F151" s="56"/>
      <c r="G151" s="68">
        <v>130.34</v>
      </c>
      <c r="H151" s="68"/>
      <c r="I151" s="69" t="s">
        <v>1645</v>
      </c>
      <c r="J151" s="69"/>
      <c r="K151" s="69"/>
      <c r="L151" s="79" t="s">
        <v>508</v>
      </c>
      <c r="M151" s="79" t="s">
        <v>508</v>
      </c>
      <c r="N151" s="79" t="s">
        <v>508</v>
      </c>
      <c r="O151" s="56"/>
      <c r="P151" s="56"/>
      <c r="Q151" s="56"/>
      <c r="R151" s="56"/>
      <c r="S151" s="56"/>
      <c r="T151" s="66"/>
      <c r="U151" s="66"/>
      <c r="V151" s="66"/>
      <c r="W151" s="66"/>
    </row>
    <row r="152" spans="1:24" s="29" customFormat="1" ht="15.75" customHeight="1" x14ac:dyDescent="0.25">
      <c r="A152"/>
      <c r="B152" s="56" t="s">
        <v>137</v>
      </c>
      <c r="C152" s="86" t="s">
        <v>481</v>
      </c>
      <c r="D152" s="56" t="s">
        <v>212</v>
      </c>
      <c r="E152" s="56" t="s">
        <v>213</v>
      </c>
      <c r="F152" s="56"/>
      <c r="G152" s="68">
        <v>74.8</v>
      </c>
      <c r="H152" s="68"/>
      <c r="I152" s="69" t="s">
        <v>1645</v>
      </c>
      <c r="J152" s="69"/>
      <c r="K152" s="69"/>
      <c r="L152" s="79" t="s">
        <v>508</v>
      </c>
      <c r="M152" s="79" t="s">
        <v>508</v>
      </c>
      <c r="N152" s="79" t="s">
        <v>508</v>
      </c>
      <c r="O152" s="56"/>
      <c r="P152" s="56"/>
      <c r="Q152" s="56"/>
      <c r="R152" s="56"/>
      <c r="S152" s="56"/>
      <c r="T152" s="66"/>
      <c r="U152" s="66"/>
      <c r="V152" s="66"/>
      <c r="W152" s="66"/>
    </row>
    <row r="153" spans="1:24" s="29" customFormat="1" ht="15.75" customHeight="1" x14ac:dyDescent="0.25">
      <c r="A153"/>
      <c r="B153" s="56" t="s">
        <v>137</v>
      </c>
      <c r="C153" s="86" t="s">
        <v>481</v>
      </c>
      <c r="D153" s="56" t="s">
        <v>214</v>
      </c>
      <c r="E153" s="56" t="s">
        <v>215</v>
      </c>
      <c r="F153" s="56"/>
      <c r="G153" s="68">
        <v>956.85</v>
      </c>
      <c r="H153" s="68"/>
      <c r="I153" s="69" t="s">
        <v>1645</v>
      </c>
      <c r="J153" s="69"/>
      <c r="K153" s="69"/>
      <c r="L153" s="79" t="s">
        <v>508</v>
      </c>
      <c r="M153" s="79" t="s">
        <v>508</v>
      </c>
      <c r="N153" s="79" t="s">
        <v>508</v>
      </c>
      <c r="O153" s="56"/>
      <c r="P153" s="56"/>
      <c r="Q153" s="56"/>
      <c r="R153" s="56"/>
      <c r="S153" s="56"/>
      <c r="T153" s="66"/>
      <c r="U153" s="66"/>
      <c r="V153" s="66"/>
      <c r="W153" s="66"/>
    </row>
    <row r="154" spans="1:24" s="29" customFormat="1" ht="15.75" customHeight="1" x14ac:dyDescent="0.25">
      <c r="A154"/>
      <c r="B154" s="56" t="s">
        <v>137</v>
      </c>
      <c r="C154" s="86" t="s">
        <v>481</v>
      </c>
      <c r="D154" s="56" t="s">
        <v>216</v>
      </c>
      <c r="E154" s="56" t="s">
        <v>217</v>
      </c>
      <c r="F154" s="56"/>
      <c r="G154" s="68">
        <v>24.67</v>
      </c>
      <c r="H154" s="68"/>
      <c r="I154" s="69" t="s">
        <v>1645</v>
      </c>
      <c r="J154" s="69"/>
      <c r="K154" s="69"/>
      <c r="L154" s="79" t="s">
        <v>508</v>
      </c>
      <c r="M154" s="79" t="s">
        <v>508</v>
      </c>
      <c r="N154" s="79" t="s">
        <v>508</v>
      </c>
      <c r="O154" s="56"/>
      <c r="P154" s="56"/>
      <c r="Q154" s="56"/>
      <c r="R154" s="56"/>
      <c r="S154" s="56"/>
      <c r="T154" s="66"/>
      <c r="U154" s="66"/>
      <c r="V154" s="66"/>
      <c r="W154" s="66"/>
    </row>
    <row r="155" spans="1:24" s="29" customFormat="1" ht="15.75" customHeight="1" x14ac:dyDescent="0.25">
      <c r="A155"/>
      <c r="B155" s="56" t="s">
        <v>137</v>
      </c>
      <c r="C155" s="86" t="s">
        <v>481</v>
      </c>
      <c r="D155" s="56" t="s">
        <v>234</v>
      </c>
      <c r="E155" s="56" t="s">
        <v>235</v>
      </c>
      <c r="F155" s="56"/>
      <c r="G155" s="68">
        <v>63.84</v>
      </c>
      <c r="H155" s="68"/>
      <c r="I155" s="69" t="s">
        <v>1645</v>
      </c>
      <c r="J155" s="69"/>
      <c r="K155" s="69"/>
      <c r="L155" s="79" t="s">
        <v>508</v>
      </c>
      <c r="M155" s="79" t="s">
        <v>508</v>
      </c>
      <c r="N155" s="79" t="s">
        <v>508</v>
      </c>
      <c r="O155" s="56"/>
      <c r="P155" s="56"/>
      <c r="Q155" s="56"/>
      <c r="R155" s="56"/>
      <c r="S155" s="56"/>
      <c r="T155" s="66"/>
      <c r="U155" s="66"/>
      <c r="V155" s="66"/>
      <c r="W155" s="66"/>
    </row>
    <row r="156" spans="1:24" s="29" customFormat="1" ht="15.75" customHeight="1" x14ac:dyDescent="0.25">
      <c r="A156"/>
      <c r="B156" s="56"/>
      <c r="C156" s="56"/>
      <c r="D156" s="56"/>
      <c r="E156" s="56"/>
      <c r="F156" s="56"/>
      <c r="G156" s="68"/>
      <c r="H156" s="68"/>
      <c r="I156" s="56"/>
      <c r="J156" s="56"/>
      <c r="K156" s="56"/>
      <c r="L156" s="79" t="s">
        <v>508</v>
      </c>
      <c r="M156" s="79" t="s">
        <v>508</v>
      </c>
      <c r="N156" s="79" t="s">
        <v>508</v>
      </c>
      <c r="O156" s="56"/>
      <c r="P156" s="56"/>
      <c r="Q156" s="56"/>
      <c r="R156" s="56"/>
      <c r="S156" s="56"/>
      <c r="T156" s="66"/>
      <c r="U156" s="66"/>
      <c r="V156" s="66"/>
      <c r="W156" s="66"/>
    </row>
    <row r="157" spans="1:24" s="29" customFormat="1" ht="15.75" customHeight="1" thickBot="1" x14ac:dyDescent="0.3">
      <c r="A157"/>
      <c r="B157" s="56"/>
      <c r="C157" s="56"/>
      <c r="D157" s="56"/>
      <c r="E157" s="56"/>
      <c r="F157" s="56"/>
      <c r="G157" s="68"/>
      <c r="H157" s="68"/>
      <c r="I157" s="56"/>
      <c r="J157" s="56"/>
      <c r="K157" s="56"/>
      <c r="L157" s="79" t="s">
        <v>508</v>
      </c>
      <c r="M157" s="79" t="s">
        <v>508</v>
      </c>
      <c r="N157" s="79" t="s">
        <v>508</v>
      </c>
      <c r="O157" s="72"/>
      <c r="P157" s="72"/>
      <c r="Q157" s="72"/>
      <c r="R157" s="72"/>
      <c r="S157" s="72"/>
      <c r="T157" s="73"/>
      <c r="U157" s="73"/>
      <c r="V157" s="73"/>
      <c r="W157" s="73"/>
    </row>
    <row r="158" spans="1:24" s="29" customFormat="1" ht="15.75" customHeight="1" thickTop="1" x14ac:dyDescent="0.25">
      <c r="A158"/>
      <c r="B158" s="74"/>
      <c r="C158" s="74"/>
      <c r="D158" s="74"/>
      <c r="E158" s="74"/>
      <c r="F158" s="74"/>
      <c r="G158" s="75"/>
      <c r="H158" s="75"/>
      <c r="I158" s="74"/>
      <c r="J158" s="74"/>
      <c r="K158" s="74"/>
      <c r="L158" s="74" t="s">
        <v>508</v>
      </c>
      <c r="M158" s="74" t="s">
        <v>508</v>
      </c>
      <c r="N158" s="74" t="s">
        <v>508</v>
      </c>
      <c r="O158" s="56"/>
      <c r="P158" s="56"/>
      <c r="Q158" s="56"/>
      <c r="R158" s="56"/>
      <c r="S158" s="56"/>
      <c r="T158" s="76"/>
      <c r="U158" s="66"/>
      <c r="V158" s="66"/>
      <c r="W158" s="66"/>
      <c r="X158" s="44"/>
    </row>
    <row r="159" spans="1:24" s="29" customFormat="1" ht="15.75" customHeight="1" x14ac:dyDescent="0.25">
      <c r="A159"/>
      <c r="B159" s="56" t="s">
        <v>236</v>
      </c>
      <c r="C159" s="56" t="s">
        <v>237</v>
      </c>
      <c r="D159" s="56" t="s">
        <v>238</v>
      </c>
      <c r="E159" s="56" t="s">
        <v>239</v>
      </c>
      <c r="F159" s="56"/>
      <c r="G159" s="68">
        <v>2010.51</v>
      </c>
      <c r="H159" s="68"/>
      <c r="I159" s="69"/>
      <c r="J159" s="69">
        <f>100*M159/(2010.515*1000)</f>
        <v>0.44789519103314324</v>
      </c>
      <c r="K159" s="69"/>
      <c r="L159" s="70"/>
      <c r="M159" s="70">
        <v>9005</v>
      </c>
      <c r="N159" s="70"/>
      <c r="O159" s="56">
        <v>2018</v>
      </c>
      <c r="P159" s="56"/>
      <c r="Q159" s="56"/>
      <c r="R159" s="56" t="s">
        <v>693</v>
      </c>
      <c r="S159" s="56" t="s">
        <v>1380</v>
      </c>
      <c r="T159" s="66" t="s">
        <v>1377</v>
      </c>
      <c r="U159" s="66" t="s">
        <v>749</v>
      </c>
      <c r="V159" s="66" t="s">
        <v>1378</v>
      </c>
      <c r="W159" s="66" t="s">
        <v>1379</v>
      </c>
    </row>
    <row r="160" spans="1:24" s="29" customFormat="1" ht="15.75" customHeight="1" x14ac:dyDescent="0.25">
      <c r="A160"/>
      <c r="B160" s="56" t="s">
        <v>236</v>
      </c>
      <c r="C160" s="56" t="s">
        <v>237</v>
      </c>
      <c r="D160" s="56" t="s">
        <v>240</v>
      </c>
      <c r="E160" s="56" t="s">
        <v>241</v>
      </c>
      <c r="F160" s="56"/>
      <c r="G160" s="68">
        <v>7007.99</v>
      </c>
      <c r="H160" s="68"/>
      <c r="I160" s="69"/>
      <c r="J160" s="69">
        <f>100*M160/(1000*7007.981)</f>
        <v>0.85973406605982516</v>
      </c>
      <c r="K160" s="69"/>
      <c r="L160" s="70"/>
      <c r="M160" s="70">
        <v>60250</v>
      </c>
      <c r="N160" s="70"/>
      <c r="O160" s="56">
        <v>2018</v>
      </c>
      <c r="P160" s="56"/>
      <c r="Q160" s="56"/>
      <c r="R160" s="56"/>
      <c r="S160" s="56" t="s">
        <v>697</v>
      </c>
      <c r="T160" s="66" t="s">
        <v>1443</v>
      </c>
      <c r="U160" s="66" t="s">
        <v>750</v>
      </c>
      <c r="V160" s="56" t="s">
        <v>514</v>
      </c>
      <c r="W160" s="66" t="s">
        <v>1444</v>
      </c>
    </row>
    <row r="161" spans="1:24" s="29" customFormat="1" ht="15.75" customHeight="1" x14ac:dyDescent="0.25">
      <c r="A161"/>
      <c r="B161" s="56" t="s">
        <v>236</v>
      </c>
      <c r="C161" s="56" t="s">
        <v>237</v>
      </c>
      <c r="D161" s="56" t="s">
        <v>242</v>
      </c>
      <c r="E161" s="56" t="s">
        <v>243</v>
      </c>
      <c r="F161" s="56"/>
      <c r="G161" s="68">
        <v>2615.5</v>
      </c>
      <c r="H161" s="68"/>
      <c r="I161" s="69">
        <v>2.13</v>
      </c>
      <c r="J161" s="69">
        <v>2.2400000000000002</v>
      </c>
      <c r="K161" s="69">
        <v>2.39</v>
      </c>
      <c r="L161" s="70">
        <v>50000</v>
      </c>
      <c r="M161" s="70">
        <v>52500</v>
      </c>
      <c r="N161" s="70">
        <v>56000</v>
      </c>
      <c r="O161" s="56">
        <v>2016</v>
      </c>
      <c r="P161" s="56" t="s">
        <v>713</v>
      </c>
      <c r="Q161" s="56" t="s">
        <v>692</v>
      </c>
      <c r="R161" s="56" t="s">
        <v>693</v>
      </c>
      <c r="S161" s="56" t="s">
        <v>697</v>
      </c>
      <c r="T161" s="66" t="s">
        <v>682</v>
      </c>
      <c r="U161" s="66" t="s">
        <v>1232</v>
      </c>
      <c r="V161" s="66" t="s">
        <v>1231</v>
      </c>
      <c r="W161" s="66"/>
    </row>
    <row r="162" spans="1:24" s="29" customFormat="1" ht="15.75" customHeight="1" x14ac:dyDescent="0.25">
      <c r="A162"/>
      <c r="B162" s="56" t="s">
        <v>236</v>
      </c>
      <c r="C162" s="56" t="s">
        <v>237</v>
      </c>
      <c r="D162" s="56" t="s">
        <v>244</v>
      </c>
      <c r="E162" s="56" t="s">
        <v>245</v>
      </c>
      <c r="F162" s="56"/>
      <c r="G162" s="68">
        <v>11751.59</v>
      </c>
      <c r="H162" s="68"/>
      <c r="I162" s="69"/>
      <c r="J162" s="69">
        <f>100*M162/(11751.596*1000)</f>
        <v>1.0253926360300336</v>
      </c>
      <c r="K162" s="69"/>
      <c r="L162" s="70" t="s">
        <v>508</v>
      </c>
      <c r="M162" s="70">
        <v>120500</v>
      </c>
      <c r="N162" s="70" t="s">
        <v>508</v>
      </c>
      <c r="O162" s="56">
        <v>2018</v>
      </c>
      <c r="P162" s="56"/>
      <c r="Q162" s="56"/>
      <c r="R162" s="56"/>
      <c r="S162" s="56" t="s">
        <v>697</v>
      </c>
      <c r="T162" s="66" t="s">
        <v>1443</v>
      </c>
      <c r="U162" s="66" t="s">
        <v>1487</v>
      </c>
      <c r="V162" s="66" t="s">
        <v>1488</v>
      </c>
      <c r="W162" s="66"/>
    </row>
    <row r="163" spans="1:24" s="29" customFormat="1" ht="15.75" customHeight="1" x14ac:dyDescent="0.25">
      <c r="A163"/>
      <c r="B163" s="56" t="s">
        <v>236</v>
      </c>
      <c r="C163" s="56" t="s">
        <v>237</v>
      </c>
      <c r="D163" s="56" t="s">
        <v>248</v>
      </c>
      <c r="E163" s="56" t="s">
        <v>249</v>
      </c>
      <c r="F163" s="56"/>
      <c r="G163" s="68">
        <v>3981.3</v>
      </c>
      <c r="H163" s="68"/>
      <c r="I163" s="69">
        <f>100*L163/(1000*3707.445)</f>
        <v>0.5475468955035071</v>
      </c>
      <c r="J163" s="69">
        <f>100*M163/(1000*3707.445)</f>
        <v>0.68780521356351876</v>
      </c>
      <c r="K163" s="69">
        <f>100*N163/(1000*3707.445)</f>
        <v>0.78760440141391175</v>
      </c>
      <c r="L163" s="70">
        <v>20300</v>
      </c>
      <c r="M163" s="70">
        <v>25500</v>
      </c>
      <c r="N163" s="70">
        <v>29200</v>
      </c>
      <c r="O163" s="56">
        <v>2013</v>
      </c>
      <c r="P163" s="56" t="s">
        <v>691</v>
      </c>
      <c r="Q163" s="56" t="s">
        <v>804</v>
      </c>
      <c r="R163" s="56"/>
      <c r="S163" s="56"/>
      <c r="T163" s="66" t="s">
        <v>1062</v>
      </c>
      <c r="U163" s="66" t="s">
        <v>1155</v>
      </c>
      <c r="V163" s="66" t="s">
        <v>1063</v>
      </c>
      <c r="W163" s="66"/>
    </row>
    <row r="164" spans="1:24" s="29" customFormat="1" ht="15.75" customHeight="1" x14ac:dyDescent="0.25">
      <c r="A164"/>
      <c r="B164" s="56" t="s">
        <v>236</v>
      </c>
      <c r="C164" s="56" t="s">
        <v>237</v>
      </c>
      <c r="D164" s="56" t="s">
        <v>250</v>
      </c>
      <c r="E164" s="56" t="s">
        <v>251</v>
      </c>
      <c r="F164" s="56"/>
      <c r="G164" s="68">
        <v>5478.15</v>
      </c>
      <c r="H164" s="68"/>
      <c r="I164" s="69"/>
      <c r="J164" s="69">
        <f>100*M164/(5478.141*1000)</f>
        <v>0.40524696242758262</v>
      </c>
      <c r="K164" s="69"/>
      <c r="L164" s="70"/>
      <c r="M164" s="70">
        <v>22200</v>
      </c>
      <c r="N164" s="70"/>
      <c r="O164" s="56">
        <v>2018</v>
      </c>
      <c r="P164" s="56" t="s">
        <v>691</v>
      </c>
      <c r="Q164" s="56" t="s">
        <v>804</v>
      </c>
      <c r="R164" s="56"/>
      <c r="S164" s="56" t="s">
        <v>1513</v>
      </c>
      <c r="T164" s="66" t="s">
        <v>1443</v>
      </c>
      <c r="U164" s="66" t="s">
        <v>1512</v>
      </c>
      <c r="V164" s="71" t="s">
        <v>1573</v>
      </c>
      <c r="W164" s="66"/>
    </row>
    <row r="165" spans="1:24" s="29" customFormat="1" ht="15.75" customHeight="1" x14ac:dyDescent="0.25">
      <c r="A165"/>
      <c r="B165" s="56" t="s">
        <v>236</v>
      </c>
      <c r="C165" s="56" t="s">
        <v>237</v>
      </c>
      <c r="D165" s="56" t="s">
        <v>246</v>
      </c>
      <c r="E165" s="56" t="s">
        <v>247</v>
      </c>
      <c r="F165" s="56"/>
      <c r="G165" s="68">
        <v>21724.91</v>
      </c>
      <c r="H165" s="68"/>
      <c r="I165" s="56"/>
      <c r="J165" s="69">
        <f>100*M165/(21724.92*1000)</f>
        <v>0.22094442695301064</v>
      </c>
      <c r="K165" s="56"/>
      <c r="L165" s="70" t="s">
        <v>508</v>
      </c>
      <c r="M165" s="70">
        <v>48000</v>
      </c>
      <c r="N165" s="70" t="s">
        <v>508</v>
      </c>
      <c r="O165" s="56">
        <v>2012</v>
      </c>
      <c r="P165" s="56"/>
      <c r="Q165" s="56"/>
      <c r="R165" s="56"/>
      <c r="S165" s="56" t="s">
        <v>697</v>
      </c>
      <c r="T165" s="66" t="s">
        <v>1443</v>
      </c>
      <c r="U165" s="66" t="s">
        <v>1493</v>
      </c>
      <c r="V165" s="71" t="s">
        <v>1568</v>
      </c>
      <c r="W165" s="88"/>
      <c r="X165" s="52" t="s">
        <v>508</v>
      </c>
    </row>
    <row r="166" spans="1:24" s="29" customFormat="1" ht="15.75" customHeight="1" x14ac:dyDescent="0.25">
      <c r="A166"/>
      <c r="B166" s="56"/>
      <c r="C166" s="56"/>
      <c r="D166" s="56"/>
      <c r="E166" s="56"/>
      <c r="F166" s="56"/>
      <c r="G166" s="68"/>
      <c r="H166" s="68"/>
      <c r="I166" s="56"/>
      <c r="J166" s="56"/>
      <c r="K166" s="56"/>
      <c r="L166" s="70" t="s">
        <v>508</v>
      </c>
      <c r="M166" s="56" t="s">
        <v>508</v>
      </c>
      <c r="N166" s="70" t="s">
        <v>508</v>
      </c>
      <c r="O166" s="56"/>
      <c r="P166" s="56"/>
      <c r="Q166" s="56"/>
      <c r="R166" s="56"/>
      <c r="S166" s="56"/>
      <c r="T166" s="66"/>
      <c r="U166" s="66"/>
      <c r="V166" s="66"/>
      <c r="W166" s="66"/>
    </row>
    <row r="167" spans="1:24" s="29" customFormat="1" ht="15.75" customHeight="1" x14ac:dyDescent="0.25">
      <c r="A167"/>
      <c r="B167" s="56"/>
      <c r="C167" s="56"/>
      <c r="D167" s="56"/>
      <c r="E167" s="56"/>
      <c r="F167" s="56"/>
      <c r="G167" s="68"/>
      <c r="H167" s="68"/>
      <c r="I167" s="56"/>
      <c r="J167" s="56"/>
      <c r="K167" s="56"/>
      <c r="L167" s="70" t="s">
        <v>508</v>
      </c>
      <c r="M167" s="56" t="s">
        <v>508</v>
      </c>
      <c r="N167" s="70" t="s">
        <v>508</v>
      </c>
      <c r="O167" s="56"/>
      <c r="P167" s="56"/>
      <c r="Q167" s="56"/>
      <c r="R167" s="56"/>
      <c r="S167" s="56"/>
      <c r="T167" s="66"/>
      <c r="U167" s="66"/>
      <c r="V167" s="66"/>
      <c r="W167" s="66"/>
    </row>
    <row r="168" spans="1:24" s="29" customFormat="1" ht="15.75" customHeight="1" x14ac:dyDescent="0.25">
      <c r="A168"/>
      <c r="B168" s="56" t="s">
        <v>236</v>
      </c>
      <c r="C168" s="56" t="s">
        <v>237</v>
      </c>
      <c r="D168" s="56" t="s">
        <v>252</v>
      </c>
      <c r="E168" s="56" t="s">
        <v>253</v>
      </c>
      <c r="F168" s="56"/>
      <c r="G168" s="68">
        <v>3788.52</v>
      </c>
      <c r="H168" s="68"/>
      <c r="I168" s="69" t="s">
        <v>1645</v>
      </c>
      <c r="J168" s="69"/>
      <c r="K168" s="69"/>
      <c r="L168" s="70" t="s">
        <v>508</v>
      </c>
      <c r="M168" s="56" t="s">
        <v>508</v>
      </c>
      <c r="N168" s="70" t="s">
        <v>508</v>
      </c>
      <c r="O168" s="56"/>
      <c r="P168" s="56"/>
      <c r="Q168" s="56"/>
      <c r="R168" s="56"/>
      <c r="S168" s="56"/>
      <c r="T168" s="66"/>
      <c r="U168" s="66"/>
      <c r="V168" s="66"/>
      <c r="W168" s="66"/>
    </row>
    <row r="169" spans="1:24" s="29" customFormat="1" ht="15.75" customHeight="1" x14ac:dyDescent="0.25">
      <c r="A169"/>
      <c r="B169" s="56"/>
      <c r="C169" s="56"/>
      <c r="D169" s="56"/>
      <c r="E169" s="56"/>
      <c r="F169" s="56"/>
      <c r="G169" s="68"/>
      <c r="H169" s="68"/>
      <c r="I169" s="56"/>
      <c r="J169" s="56"/>
      <c r="K169" s="56"/>
      <c r="L169" s="70" t="s">
        <v>508</v>
      </c>
      <c r="M169" s="56" t="s">
        <v>508</v>
      </c>
      <c r="N169" s="70" t="s">
        <v>508</v>
      </c>
      <c r="O169" s="56"/>
      <c r="P169" s="56"/>
      <c r="Q169" s="56"/>
      <c r="R169" s="56"/>
      <c r="S169" s="56"/>
      <c r="T169" s="66"/>
      <c r="U169" s="66"/>
      <c r="V169" s="66"/>
      <c r="W169" s="66"/>
    </row>
    <row r="170" spans="1:24" s="29" customFormat="1" ht="15.75" customHeight="1" thickBot="1" x14ac:dyDescent="0.3">
      <c r="A170"/>
      <c r="B170" s="56"/>
      <c r="C170" s="56"/>
      <c r="D170" s="56"/>
      <c r="E170" s="56"/>
      <c r="F170" s="56"/>
      <c r="G170" s="68"/>
      <c r="H170" s="68"/>
      <c r="I170" s="56"/>
      <c r="J170" s="56"/>
      <c r="K170" s="56"/>
      <c r="L170" s="70" t="s">
        <v>508</v>
      </c>
      <c r="M170" s="56" t="s">
        <v>508</v>
      </c>
      <c r="N170" s="70" t="s">
        <v>508</v>
      </c>
      <c r="O170" s="72"/>
      <c r="P170" s="72"/>
      <c r="Q170" s="72"/>
      <c r="R170" s="72"/>
      <c r="S170" s="72"/>
      <c r="T170" s="73"/>
      <c r="U170" s="73"/>
      <c r="V170" s="73"/>
      <c r="W170" s="73"/>
    </row>
    <row r="171" spans="1:24" s="29" customFormat="1" ht="15.75" customHeight="1" thickTop="1" x14ac:dyDescent="0.25">
      <c r="A171"/>
      <c r="B171" s="74"/>
      <c r="C171" s="74"/>
      <c r="D171" s="74"/>
      <c r="E171" s="74"/>
      <c r="F171" s="74"/>
      <c r="G171" s="75"/>
      <c r="H171" s="75"/>
      <c r="I171" s="74"/>
      <c r="J171" s="74"/>
      <c r="K171" s="74"/>
      <c r="L171" s="74" t="s">
        <v>508</v>
      </c>
      <c r="M171" s="74" t="s">
        <v>508</v>
      </c>
      <c r="N171" s="74" t="s">
        <v>508</v>
      </c>
      <c r="O171" s="56"/>
      <c r="P171" s="56"/>
      <c r="Q171" s="56"/>
      <c r="R171" s="56"/>
      <c r="S171" s="56"/>
      <c r="T171" s="76"/>
      <c r="U171" s="66"/>
      <c r="V171" s="66"/>
      <c r="W171" s="66"/>
      <c r="X171" s="44"/>
    </row>
    <row r="172" spans="1:24" s="29" customFormat="1" ht="15.75" customHeight="1" x14ac:dyDescent="0.25">
      <c r="A172"/>
      <c r="B172" s="56" t="s">
        <v>236</v>
      </c>
      <c r="C172" s="56" t="s">
        <v>254</v>
      </c>
      <c r="D172" s="56" t="s">
        <v>255</v>
      </c>
      <c r="E172" s="56" t="s">
        <v>256</v>
      </c>
      <c r="F172" s="56"/>
      <c r="G172" s="68">
        <v>10437.209999999999</v>
      </c>
      <c r="H172" s="68"/>
      <c r="I172" s="69">
        <f>100*L172/(10292.927*1000)</f>
        <v>3.1740242595716457E-2</v>
      </c>
      <c r="J172" s="69">
        <f>100*M172/(10292.927*1000)</f>
        <v>4.0182933387169655E-2</v>
      </c>
      <c r="K172" s="69">
        <f>100*N172/(10292.927*1000)</f>
        <v>4.607047149950641E-2</v>
      </c>
      <c r="L172" s="70">
        <v>3267</v>
      </c>
      <c r="M172" s="70">
        <v>4136</v>
      </c>
      <c r="N172" s="70">
        <v>4742</v>
      </c>
      <c r="O172" s="56">
        <v>2017</v>
      </c>
      <c r="P172" s="56" t="s">
        <v>691</v>
      </c>
      <c r="Q172" s="56" t="s">
        <v>692</v>
      </c>
      <c r="R172" s="56" t="s">
        <v>1237</v>
      </c>
      <c r="S172" s="56" t="s">
        <v>1239</v>
      </c>
      <c r="T172" s="66" t="s">
        <v>682</v>
      </c>
      <c r="U172" s="66" t="s">
        <v>1238</v>
      </c>
      <c r="V172" s="66" t="s">
        <v>1240</v>
      </c>
      <c r="W172" s="66"/>
    </row>
    <row r="173" spans="1:24" s="29" customFormat="1" ht="15.75" customHeight="1" x14ac:dyDescent="0.25">
      <c r="A173"/>
      <c r="B173" s="56" t="s">
        <v>236</v>
      </c>
      <c r="C173" s="56" t="s">
        <v>254</v>
      </c>
      <c r="D173" s="56" t="s">
        <v>281</v>
      </c>
      <c r="E173" s="56" t="s">
        <v>282</v>
      </c>
      <c r="F173" s="56"/>
      <c r="G173" s="68">
        <v>1016515.29</v>
      </c>
      <c r="H173" s="68"/>
      <c r="I173" s="69">
        <f>100*L173/(1009835.1*1000)</f>
        <v>0.12972415001221488</v>
      </c>
      <c r="J173" s="69">
        <f>100*M173/(1009835.1*1000)</f>
        <v>0.1911203126134158</v>
      </c>
      <c r="K173" s="69">
        <f>100*N173/(1009835.1*1000)</f>
        <v>0.25152621452750057</v>
      </c>
      <c r="L173" s="70">
        <v>1310000</v>
      </c>
      <c r="M173" s="70">
        <v>1930000</v>
      </c>
      <c r="N173" s="70">
        <v>2540000</v>
      </c>
      <c r="O173" s="56">
        <v>2012</v>
      </c>
      <c r="P173" s="56"/>
      <c r="Q173" s="56"/>
      <c r="R173" s="56"/>
      <c r="S173" s="56"/>
      <c r="T173" s="66" t="s">
        <v>514</v>
      </c>
      <c r="U173" s="66" t="s">
        <v>748</v>
      </c>
      <c r="V173" s="66" t="s">
        <v>513</v>
      </c>
      <c r="W173" s="66"/>
    </row>
    <row r="174" spans="1:24" s="29" customFormat="1" ht="15.75" customHeight="1" x14ac:dyDescent="0.25">
      <c r="A174"/>
      <c r="B174" s="56" t="s">
        <v>236</v>
      </c>
      <c r="C174" s="56" t="s">
        <v>254</v>
      </c>
      <c r="D174" s="56" t="s">
        <v>257</v>
      </c>
      <c r="E174" s="56" t="s">
        <v>258</v>
      </c>
      <c r="F174" s="56"/>
      <c r="G174" s="68">
        <v>5250.43</v>
      </c>
      <c r="H174" s="68"/>
      <c r="I174" s="69"/>
      <c r="J174" s="69">
        <f>100*M174/(5332.691*1000)</f>
        <v>3.0003613560208156E-2</v>
      </c>
      <c r="K174" s="69"/>
      <c r="L174" s="70" t="s">
        <v>508</v>
      </c>
      <c r="M174" s="70">
        <v>1600</v>
      </c>
      <c r="N174" s="70" t="s">
        <v>508</v>
      </c>
      <c r="O174" s="56">
        <v>2016</v>
      </c>
      <c r="P174" s="56"/>
      <c r="Q174" s="56"/>
      <c r="R174" s="56"/>
      <c r="S174" s="56" t="s">
        <v>715</v>
      </c>
      <c r="T174" s="66" t="s">
        <v>480</v>
      </c>
      <c r="U174" s="66" t="s">
        <v>744</v>
      </c>
      <c r="V174" s="66" t="s">
        <v>1143</v>
      </c>
      <c r="W174" s="66"/>
    </row>
    <row r="175" spans="1:24" s="29" customFormat="1" ht="15.75" customHeight="1" x14ac:dyDescent="0.25">
      <c r="A175"/>
      <c r="B175" s="56" t="s">
        <v>236</v>
      </c>
      <c r="C175" s="56" t="s">
        <v>254</v>
      </c>
      <c r="D175" s="56" t="s">
        <v>259</v>
      </c>
      <c r="E175" s="56" t="s">
        <v>260</v>
      </c>
      <c r="F175" s="56"/>
      <c r="G175" s="68">
        <v>479.17</v>
      </c>
      <c r="H175" s="68"/>
      <c r="I175" s="69"/>
      <c r="J175" s="69">
        <f>100*M175/(477.62*1000)</f>
        <v>3.9571207235877898E-2</v>
      </c>
      <c r="K175" s="69"/>
      <c r="L175" s="70" t="s">
        <v>508</v>
      </c>
      <c r="M175" s="70">
        <v>189</v>
      </c>
      <c r="N175" s="70" t="s">
        <v>508</v>
      </c>
      <c r="O175" s="56">
        <v>2017</v>
      </c>
      <c r="P175" s="56"/>
      <c r="Q175" s="56"/>
      <c r="R175" s="56"/>
      <c r="S175" s="56"/>
      <c r="T175" s="66" t="s">
        <v>480</v>
      </c>
      <c r="U175" s="66" t="s">
        <v>744</v>
      </c>
      <c r="V175" s="66" t="s">
        <v>1261</v>
      </c>
      <c r="W175" s="66" t="s">
        <v>1260</v>
      </c>
    </row>
    <row r="176" spans="1:24" s="29" customFormat="1" ht="15.75" customHeight="1" x14ac:dyDescent="0.25">
      <c r="A176"/>
      <c r="B176" s="56" t="s">
        <v>236</v>
      </c>
      <c r="C176" s="56" t="s">
        <v>254</v>
      </c>
      <c r="D176" s="56" t="s">
        <v>261</v>
      </c>
      <c r="E176" s="56" t="s">
        <v>262</v>
      </c>
      <c r="F176" s="56"/>
      <c r="G176" s="68">
        <v>180922.9</v>
      </c>
      <c r="H176" s="68"/>
      <c r="I176" s="79">
        <f>100*L176/(1000*180922.902)</f>
        <v>7.7469462655424355E-3</v>
      </c>
      <c r="J176" s="79">
        <f>100*M176/(1000*180922.902)</f>
        <v>1.8511752591719981E-2</v>
      </c>
      <c r="K176" s="79">
        <f>100*N176/(1000*180922.902)</f>
        <v>4.9088312766506478E-2</v>
      </c>
      <c r="L176" s="70">
        <v>14016</v>
      </c>
      <c r="M176" s="70">
        <v>33492</v>
      </c>
      <c r="N176" s="70">
        <v>88812</v>
      </c>
      <c r="O176" s="56">
        <v>2016</v>
      </c>
      <c r="P176" s="56"/>
      <c r="Q176" s="56" t="s">
        <v>508</v>
      </c>
      <c r="R176" s="56"/>
      <c r="S176" s="56" t="s">
        <v>715</v>
      </c>
      <c r="T176" s="66" t="s">
        <v>1484</v>
      </c>
      <c r="U176" s="66" t="s">
        <v>1485</v>
      </c>
      <c r="V176" s="66" t="s">
        <v>1574</v>
      </c>
      <c r="W176" s="66" t="s">
        <v>1486</v>
      </c>
    </row>
    <row r="177" spans="1:27" s="29" customFormat="1" ht="15.75" customHeight="1" x14ac:dyDescent="0.25">
      <c r="A177"/>
      <c r="B177" s="56" t="s">
        <v>236</v>
      </c>
      <c r="C177" s="56" t="s">
        <v>254</v>
      </c>
      <c r="D177" s="56" t="s">
        <v>263</v>
      </c>
      <c r="E177" s="56" t="s">
        <v>264</v>
      </c>
      <c r="F177" s="56"/>
      <c r="G177" s="68">
        <v>75972.960000000006</v>
      </c>
      <c r="H177" s="68"/>
      <c r="I177" s="56"/>
      <c r="J177" s="56">
        <v>0.47</v>
      </c>
      <c r="K177" s="56"/>
      <c r="L177" s="70" t="s">
        <v>508</v>
      </c>
      <c r="M177" s="70">
        <v>400000</v>
      </c>
      <c r="N177" s="70" t="s">
        <v>508</v>
      </c>
      <c r="O177" s="56">
        <v>2004</v>
      </c>
      <c r="P177" s="56"/>
      <c r="Q177" s="56"/>
      <c r="R177" s="56"/>
      <c r="S177" s="56"/>
      <c r="T177" s="66" t="s">
        <v>15</v>
      </c>
      <c r="U177" s="66" t="s">
        <v>745</v>
      </c>
      <c r="V177" s="66" t="s">
        <v>18</v>
      </c>
      <c r="W177" s="66"/>
    </row>
    <row r="178" spans="1:27" s="29" customFormat="1" ht="15.75" customHeight="1" x14ac:dyDescent="0.25">
      <c r="A178"/>
      <c r="B178" s="56" t="s">
        <v>236</v>
      </c>
      <c r="C178" s="56" t="s">
        <v>254</v>
      </c>
      <c r="D178" s="56" t="s">
        <v>266</v>
      </c>
      <c r="E178" s="56" t="s">
        <v>267</v>
      </c>
      <c r="F178" s="56"/>
      <c r="G178" s="68">
        <v>4471.41</v>
      </c>
      <c r="H178" s="68"/>
      <c r="I178" s="56"/>
      <c r="J178" s="69">
        <f>100*M178/(4242.601*1000)</f>
        <v>3.7712714440976187E-2</v>
      </c>
      <c r="K178" s="56"/>
      <c r="L178" s="70"/>
      <c r="M178" s="70">
        <v>1600</v>
      </c>
      <c r="N178" s="70"/>
      <c r="O178" s="56">
        <v>2016</v>
      </c>
      <c r="P178" s="56"/>
      <c r="Q178" s="56"/>
      <c r="R178" s="56"/>
      <c r="S178" s="56"/>
      <c r="T178" s="66" t="s">
        <v>950</v>
      </c>
      <c r="U178" s="66" t="s">
        <v>752</v>
      </c>
      <c r="V178" s="66" t="s">
        <v>951</v>
      </c>
      <c r="W178" s="66"/>
    </row>
    <row r="179" spans="1:27" s="29" customFormat="1" ht="15.75" customHeight="1" x14ac:dyDescent="0.25">
      <c r="A179"/>
      <c r="B179" s="56" t="s">
        <v>236</v>
      </c>
      <c r="C179" s="56" t="s">
        <v>254</v>
      </c>
      <c r="D179" s="56" t="s">
        <v>268</v>
      </c>
      <c r="E179" s="56" t="s">
        <v>269</v>
      </c>
      <c r="F179" s="56"/>
      <c r="G179" s="68">
        <v>21859.360000000001</v>
      </c>
      <c r="H179" s="68"/>
      <c r="I179" s="69">
        <f>100*L179/(1000*21859.364)</f>
        <v>0.13724095540931566</v>
      </c>
      <c r="J179" s="69">
        <f>100*M179/(1000*21859.364)</f>
        <v>0.34310238852328917</v>
      </c>
      <c r="K179" s="69">
        <f>100*N179/(1000*21859.364)</f>
        <v>0.50321683650082405</v>
      </c>
      <c r="L179" s="70">
        <v>30000</v>
      </c>
      <c r="M179" s="70">
        <v>75000</v>
      </c>
      <c r="N179" s="70">
        <v>110000</v>
      </c>
      <c r="O179" s="56">
        <v>2018</v>
      </c>
      <c r="P179" s="56"/>
      <c r="Q179" s="56"/>
      <c r="R179" s="56"/>
      <c r="S179" s="56" t="s">
        <v>697</v>
      </c>
      <c r="T179" s="66" t="s">
        <v>19</v>
      </c>
      <c r="U179" s="66" t="s">
        <v>1384</v>
      </c>
      <c r="V179" s="66" t="s">
        <v>1385</v>
      </c>
      <c r="W179" s="66"/>
    </row>
    <row r="180" spans="1:27" s="29" customFormat="1" ht="15.75" customHeight="1" x14ac:dyDescent="0.25">
      <c r="A180"/>
      <c r="B180" s="56" t="s">
        <v>236</v>
      </c>
      <c r="C180" s="56" t="s">
        <v>254</v>
      </c>
      <c r="D180" s="56" t="s">
        <v>270</v>
      </c>
      <c r="E180" s="56" t="s">
        <v>271</v>
      </c>
      <c r="F180" s="56"/>
      <c r="G180" s="68">
        <v>36438.050000000003</v>
      </c>
      <c r="H180" s="68"/>
      <c r="I180" s="69">
        <f>100*L180/(1000*35991.678)</f>
        <v>0.13802357311598532</v>
      </c>
      <c r="J180" s="69">
        <f>100*M180/(1000*35991.678)</f>
        <v>0.25899042550891904</v>
      </c>
      <c r="K180" s="69">
        <f>100*N180/(1000*35991.678)</f>
        <v>0.34532149348524399</v>
      </c>
      <c r="L180" s="70">
        <v>49677</v>
      </c>
      <c r="M180" s="70">
        <v>93215</v>
      </c>
      <c r="N180" s="70">
        <v>124287</v>
      </c>
      <c r="O180" s="56">
        <v>2017</v>
      </c>
      <c r="P180" s="56" t="s">
        <v>713</v>
      </c>
      <c r="Q180" s="56" t="s">
        <v>716</v>
      </c>
      <c r="R180" s="56" t="s">
        <v>700</v>
      </c>
      <c r="S180" s="56" t="s">
        <v>697</v>
      </c>
      <c r="T180" s="66" t="s">
        <v>1353</v>
      </c>
      <c r="U180" s="66" t="s">
        <v>753</v>
      </c>
      <c r="V180" s="66" t="s">
        <v>1327</v>
      </c>
      <c r="W180" s="66"/>
    </row>
    <row r="181" spans="1:27" s="29" customFormat="1" ht="15.75" customHeight="1" x14ac:dyDescent="0.25">
      <c r="A181"/>
      <c r="B181" s="56" t="s">
        <v>236</v>
      </c>
      <c r="C181" s="56" t="s">
        <v>254</v>
      </c>
      <c r="D181" s="56" t="s">
        <v>272</v>
      </c>
      <c r="E181" s="56" t="s">
        <v>273</v>
      </c>
      <c r="F181" s="56"/>
      <c r="G181" s="68">
        <v>68165.56</v>
      </c>
      <c r="H181" s="68"/>
      <c r="I181" s="69">
        <v>0.04</v>
      </c>
      <c r="J181" s="69"/>
      <c r="K181" s="69">
        <v>0.09</v>
      </c>
      <c r="L181" s="70">
        <v>10000</v>
      </c>
      <c r="M181" s="70" t="s">
        <v>508</v>
      </c>
      <c r="N181" s="70">
        <v>21700</v>
      </c>
      <c r="O181" s="56">
        <v>2015</v>
      </c>
      <c r="P181" s="56" t="s">
        <v>695</v>
      </c>
      <c r="Q181" s="56" t="s">
        <v>717</v>
      </c>
      <c r="R181" s="56" t="s">
        <v>700</v>
      </c>
      <c r="S181" s="56" t="s">
        <v>718</v>
      </c>
      <c r="T181" s="66" t="s">
        <v>633</v>
      </c>
      <c r="U181" s="66" t="s">
        <v>900</v>
      </c>
      <c r="V181" s="66" t="s">
        <v>647</v>
      </c>
      <c r="W181" s="66"/>
      <c r="AA181" s="32"/>
    </row>
    <row r="182" spans="1:27" ht="15.75" customHeight="1" x14ac:dyDescent="0.25">
      <c r="B182" s="89" t="s">
        <v>236</v>
      </c>
      <c r="C182" s="89" t="s">
        <v>254</v>
      </c>
      <c r="D182" s="89" t="s">
        <v>275</v>
      </c>
      <c r="E182" s="89" t="s">
        <v>276</v>
      </c>
      <c r="F182" s="89"/>
      <c r="G182" s="90">
        <v>49302.61</v>
      </c>
      <c r="H182" s="90"/>
      <c r="I182" s="89"/>
      <c r="J182" s="91">
        <f>100*M182/(48726.556*1000)</f>
        <v>0.14571109848190378</v>
      </c>
      <c r="K182" s="89"/>
      <c r="L182" s="92" t="s">
        <v>508</v>
      </c>
      <c r="M182" s="92">
        <v>71000</v>
      </c>
      <c r="N182" s="92" t="s">
        <v>508</v>
      </c>
      <c r="O182" s="89">
        <v>2014</v>
      </c>
      <c r="P182" s="89"/>
      <c r="Q182" s="89"/>
      <c r="R182" s="89" t="s">
        <v>693</v>
      </c>
      <c r="S182" s="89" t="s">
        <v>697</v>
      </c>
      <c r="T182" s="93" t="s">
        <v>15</v>
      </c>
      <c r="U182" s="93" t="s">
        <v>754</v>
      </c>
      <c r="V182" s="93" t="s">
        <v>653</v>
      </c>
      <c r="W182" s="93" t="s">
        <v>777</v>
      </c>
    </row>
    <row r="183" spans="1:27" s="29" customFormat="1" ht="15.75" customHeight="1" x14ac:dyDescent="0.25">
      <c r="A183"/>
      <c r="B183" s="56" t="s">
        <v>236</v>
      </c>
      <c r="C183" s="56" t="s">
        <v>254</v>
      </c>
      <c r="D183" s="56" t="s">
        <v>288</v>
      </c>
      <c r="E183" s="56" t="s">
        <v>289</v>
      </c>
      <c r="F183" s="56"/>
      <c r="G183" s="68">
        <v>734.19</v>
      </c>
      <c r="H183" s="68"/>
      <c r="I183" s="69"/>
      <c r="J183" s="69">
        <f>100*M183/(604.38*1000)</f>
        <v>8.7693173169198189E-3</v>
      </c>
      <c r="K183" s="69"/>
      <c r="L183" s="70"/>
      <c r="M183" s="70">
        <v>53</v>
      </c>
      <c r="N183" s="70"/>
      <c r="O183" s="56">
        <v>2014</v>
      </c>
      <c r="P183" s="56"/>
      <c r="Q183" s="56"/>
      <c r="R183" s="56"/>
      <c r="S183" s="56"/>
      <c r="T183" s="66" t="s">
        <v>479</v>
      </c>
      <c r="U183" s="66" t="s">
        <v>755</v>
      </c>
      <c r="V183" s="66" t="s">
        <v>627</v>
      </c>
      <c r="W183" s="66"/>
    </row>
    <row r="184" spans="1:27" s="29" customFormat="1" ht="15.75" customHeight="1" x14ac:dyDescent="0.25">
      <c r="A184"/>
      <c r="B184" s="56" t="s">
        <v>236</v>
      </c>
      <c r="C184" s="56" t="s">
        <v>254</v>
      </c>
      <c r="D184" s="56" t="s">
        <v>277</v>
      </c>
      <c r="E184" s="56" t="s">
        <v>278</v>
      </c>
      <c r="F184" s="56"/>
      <c r="G184" s="68">
        <v>66454.47</v>
      </c>
      <c r="H184" s="68"/>
      <c r="I184" s="69">
        <f>100*L184/(62603.073*1000)</f>
        <v>0.15973656756434304</v>
      </c>
      <c r="J184" s="69">
        <f>100*M184/(62603.073*1000)</f>
        <v>0.43369436513124521</v>
      </c>
      <c r="K184" s="69">
        <f>100*N184/(62603.073*1000)</f>
        <v>0.53669889335943621</v>
      </c>
      <c r="L184" s="70">
        <v>100000</v>
      </c>
      <c r="M184" s="70">
        <v>271506</v>
      </c>
      <c r="N184" s="70">
        <v>335990</v>
      </c>
      <c r="O184" s="56">
        <v>2013</v>
      </c>
      <c r="P184" s="56"/>
      <c r="Q184" s="56"/>
      <c r="R184" s="56"/>
      <c r="S184" s="56" t="s">
        <v>719</v>
      </c>
      <c r="T184" s="66" t="s">
        <v>479</v>
      </c>
      <c r="U184" s="66" t="s">
        <v>756</v>
      </c>
      <c r="V184" s="66" t="s">
        <v>585</v>
      </c>
      <c r="W184" s="66" t="s">
        <v>778</v>
      </c>
    </row>
    <row r="185" spans="1:27" s="29" customFormat="1" ht="15.75" customHeight="1" x14ac:dyDescent="0.25">
      <c r="A185"/>
      <c r="B185" s="56"/>
      <c r="C185" s="56"/>
      <c r="D185" s="56"/>
      <c r="E185" s="56"/>
      <c r="F185" s="56"/>
      <c r="G185" s="68"/>
      <c r="H185" s="68"/>
      <c r="I185" s="56"/>
      <c r="J185" s="56"/>
      <c r="K185" s="56"/>
      <c r="L185" s="70" t="s">
        <v>508</v>
      </c>
      <c r="M185" s="56" t="s">
        <v>508</v>
      </c>
      <c r="N185" s="70" t="s">
        <v>508</v>
      </c>
      <c r="O185" s="56"/>
      <c r="P185" s="56"/>
      <c r="Q185" s="56"/>
      <c r="R185" s="56"/>
      <c r="S185" s="56"/>
      <c r="T185" s="66"/>
      <c r="U185" s="66"/>
      <c r="V185" s="66"/>
      <c r="W185" s="66"/>
    </row>
    <row r="186" spans="1:27" s="29" customFormat="1" ht="15.75" customHeight="1" x14ac:dyDescent="0.25">
      <c r="A186"/>
      <c r="B186" s="56"/>
      <c r="C186" s="56"/>
      <c r="D186" s="56"/>
      <c r="E186" s="56"/>
      <c r="F186" s="56"/>
      <c r="G186" s="68"/>
      <c r="H186" s="68"/>
      <c r="I186" s="56"/>
      <c r="J186" s="56"/>
      <c r="K186" s="56"/>
      <c r="L186" s="70" t="s">
        <v>508</v>
      </c>
      <c r="M186" s="70" t="s">
        <v>508</v>
      </c>
      <c r="N186" s="70" t="s">
        <v>508</v>
      </c>
      <c r="O186" s="56"/>
      <c r="P186" s="56"/>
      <c r="Q186" s="56"/>
      <c r="R186" s="56"/>
      <c r="S186" s="56"/>
      <c r="T186" s="66"/>
      <c r="U186" s="66"/>
      <c r="V186" s="66"/>
      <c r="W186" s="66"/>
    </row>
    <row r="187" spans="1:27" s="29" customFormat="1" ht="15.75" customHeight="1" x14ac:dyDescent="0.25">
      <c r="A187"/>
      <c r="B187" s="56" t="s">
        <v>236</v>
      </c>
      <c r="C187" s="56" t="s">
        <v>254</v>
      </c>
      <c r="D187" s="56" t="s">
        <v>279</v>
      </c>
      <c r="E187" s="56" t="s">
        <v>280</v>
      </c>
      <c r="F187" s="56"/>
      <c r="G187" s="68">
        <v>309.27999999999997</v>
      </c>
      <c r="H187" s="68"/>
      <c r="I187" s="69" t="s">
        <v>1645</v>
      </c>
      <c r="J187" s="69"/>
      <c r="K187" s="69"/>
      <c r="L187" s="70" t="s">
        <v>508</v>
      </c>
      <c r="M187" s="70" t="s">
        <v>508</v>
      </c>
      <c r="N187" s="70" t="s">
        <v>508</v>
      </c>
      <c r="O187" s="56"/>
      <c r="P187" s="56"/>
      <c r="Q187" s="56"/>
      <c r="R187" s="56"/>
      <c r="S187" s="56"/>
      <c r="T187" s="66"/>
      <c r="U187" s="66"/>
      <c r="V187" s="66"/>
      <c r="W187" s="66"/>
    </row>
    <row r="188" spans="1:27" s="29" customFormat="1" ht="15.75" customHeight="1" x14ac:dyDescent="0.25">
      <c r="A188"/>
      <c r="B188" s="56" t="s">
        <v>236</v>
      </c>
      <c r="C188" s="56" t="s">
        <v>254</v>
      </c>
      <c r="D188" s="56" t="s">
        <v>283</v>
      </c>
      <c r="E188" s="56" t="s">
        <v>942</v>
      </c>
      <c r="F188" s="56"/>
      <c r="G188" s="68">
        <v>18003.12</v>
      </c>
      <c r="H188" s="68"/>
      <c r="I188" s="69" t="s">
        <v>1645</v>
      </c>
      <c r="J188" s="69"/>
      <c r="K188" s="69"/>
      <c r="L188" s="70" t="s">
        <v>508</v>
      </c>
      <c r="M188" s="70" t="s">
        <v>508</v>
      </c>
      <c r="N188" s="70" t="s">
        <v>508</v>
      </c>
      <c r="O188" s="56"/>
      <c r="P188" s="56"/>
      <c r="Q188" s="56"/>
      <c r="R188" s="56"/>
      <c r="S188" s="56"/>
      <c r="T188" s="66"/>
      <c r="U188" s="66"/>
      <c r="V188" s="66"/>
      <c r="W188" s="66"/>
    </row>
    <row r="189" spans="1:27" s="29" customFormat="1" ht="15.75" customHeight="1" x14ac:dyDescent="0.25">
      <c r="A189"/>
      <c r="B189" s="56" t="s">
        <v>236</v>
      </c>
      <c r="C189" s="56" t="s">
        <v>254</v>
      </c>
      <c r="D189" s="56" t="s">
        <v>265</v>
      </c>
      <c r="E189" s="56" t="s">
        <v>496</v>
      </c>
      <c r="F189" s="56"/>
      <c r="G189" s="68">
        <v>37154.83</v>
      </c>
      <c r="H189" s="68"/>
      <c r="I189" s="69" t="s">
        <v>1645</v>
      </c>
      <c r="J189" s="69"/>
      <c r="K189" s="69"/>
      <c r="L189" s="70" t="s">
        <v>508</v>
      </c>
      <c r="M189" s="70" t="s">
        <v>508</v>
      </c>
      <c r="N189" s="70" t="s">
        <v>508</v>
      </c>
      <c r="O189" s="56"/>
      <c r="P189" s="56"/>
      <c r="Q189" s="56"/>
      <c r="R189" s="56"/>
      <c r="S189" s="56"/>
      <c r="T189" s="66"/>
      <c r="U189" s="66"/>
      <c r="V189" s="66"/>
      <c r="W189" s="66"/>
    </row>
    <row r="190" spans="1:27" s="29" customFormat="1" ht="15.75" customHeight="1" x14ac:dyDescent="0.25">
      <c r="A190"/>
      <c r="B190" s="56" t="s">
        <v>236</v>
      </c>
      <c r="C190" s="56" t="s">
        <v>254</v>
      </c>
      <c r="D190" s="56" t="s">
        <v>284</v>
      </c>
      <c r="E190" s="56" t="s">
        <v>285</v>
      </c>
      <c r="F190" s="56"/>
      <c r="G190" s="68">
        <v>2076.71</v>
      </c>
      <c r="H190" s="68"/>
      <c r="I190" s="69" t="s">
        <v>1645</v>
      </c>
      <c r="J190" s="69"/>
      <c r="K190" s="69"/>
      <c r="L190" s="70" t="s">
        <v>508</v>
      </c>
      <c r="M190" s="70" t="s">
        <v>508</v>
      </c>
      <c r="N190" s="70" t="s">
        <v>508</v>
      </c>
      <c r="O190" s="56"/>
      <c r="P190" s="56"/>
      <c r="Q190" s="56"/>
      <c r="R190" s="56"/>
      <c r="S190" s="56"/>
      <c r="T190" s="66"/>
      <c r="U190" s="66"/>
      <c r="V190" s="66"/>
      <c r="W190" s="66"/>
    </row>
    <row r="191" spans="1:27" s="29" customFormat="1" ht="15.75" customHeight="1" x14ac:dyDescent="0.25">
      <c r="B191" s="56" t="s">
        <v>236</v>
      </c>
      <c r="C191" s="56" t="s">
        <v>254</v>
      </c>
      <c r="D191" s="56" t="s">
        <v>286</v>
      </c>
      <c r="E191" s="56" t="s">
        <v>287</v>
      </c>
      <c r="F191" s="56"/>
      <c r="G191" s="56">
        <v>4390.58</v>
      </c>
      <c r="H191" s="56"/>
      <c r="I191" s="69" t="s">
        <v>1645</v>
      </c>
      <c r="J191" s="56"/>
      <c r="K191" s="56"/>
      <c r="L191" s="56"/>
      <c r="M191" s="56"/>
      <c r="N191" s="56"/>
      <c r="O191" s="56"/>
      <c r="P191" s="56"/>
      <c r="Q191" s="56"/>
      <c r="R191" s="56"/>
      <c r="S191" s="56"/>
      <c r="T191" s="56"/>
      <c r="U191" s="56"/>
      <c r="V191" s="56"/>
      <c r="W191" s="66" t="s">
        <v>1646</v>
      </c>
    </row>
    <row r="192" spans="1:27" s="29" customFormat="1" ht="15.75" customHeight="1" x14ac:dyDescent="0.25">
      <c r="A192"/>
      <c r="B192" s="56" t="s">
        <v>236</v>
      </c>
      <c r="C192" s="56" t="s">
        <v>254</v>
      </c>
      <c r="D192" s="56" t="s">
        <v>274</v>
      </c>
      <c r="E192" s="56" t="s">
        <v>1009</v>
      </c>
      <c r="F192" s="56"/>
      <c r="G192" s="68">
        <v>17240.25</v>
      </c>
      <c r="H192" s="68"/>
      <c r="I192" s="69" t="s">
        <v>1645</v>
      </c>
      <c r="J192" s="69"/>
      <c r="K192" s="69"/>
      <c r="L192" s="70" t="s">
        <v>508</v>
      </c>
      <c r="M192" s="70" t="s">
        <v>508</v>
      </c>
      <c r="N192" s="70" t="s">
        <v>508</v>
      </c>
      <c r="O192" s="56"/>
      <c r="P192" s="56"/>
      <c r="Q192" s="56"/>
      <c r="R192" s="56"/>
      <c r="S192" s="56"/>
      <c r="T192" s="66"/>
      <c r="U192" s="66"/>
      <c r="V192" s="66"/>
      <c r="W192" s="66"/>
    </row>
    <row r="193" spans="1:24" s="29" customFormat="1" ht="15.75" customHeight="1" x14ac:dyDescent="0.25">
      <c r="A193"/>
      <c r="B193" s="56"/>
      <c r="C193" s="56"/>
      <c r="D193" s="56"/>
      <c r="E193" s="56"/>
      <c r="F193" s="56"/>
      <c r="G193" s="68"/>
      <c r="H193" s="68"/>
      <c r="I193" s="56"/>
      <c r="J193" s="56"/>
      <c r="K193" s="56"/>
      <c r="L193" s="70" t="s">
        <v>508</v>
      </c>
      <c r="M193" s="70" t="s">
        <v>508</v>
      </c>
      <c r="N193" s="70" t="s">
        <v>508</v>
      </c>
      <c r="O193" s="56"/>
      <c r="P193" s="56"/>
      <c r="Q193" s="56"/>
      <c r="R193" s="56"/>
      <c r="S193" s="56"/>
      <c r="T193" s="66"/>
      <c r="U193" s="66"/>
      <c r="V193" s="66"/>
      <c r="W193" s="66"/>
    </row>
    <row r="194" spans="1:24" s="29" customFormat="1" ht="15.75" customHeight="1" thickBot="1" x14ac:dyDescent="0.3">
      <c r="A194"/>
      <c r="B194" s="56"/>
      <c r="C194" s="56"/>
      <c r="D194" s="56"/>
      <c r="E194" s="56"/>
      <c r="F194" s="56"/>
      <c r="G194" s="68"/>
      <c r="H194" s="68"/>
      <c r="I194" s="56"/>
      <c r="J194" s="56"/>
      <c r="K194" s="56"/>
      <c r="L194" s="70" t="s">
        <v>508</v>
      </c>
      <c r="M194" s="70" t="s">
        <v>508</v>
      </c>
      <c r="N194" s="70" t="s">
        <v>508</v>
      </c>
      <c r="O194" s="72"/>
      <c r="P194" s="72"/>
      <c r="Q194" s="72"/>
      <c r="R194" s="72"/>
      <c r="S194" s="72"/>
      <c r="T194" s="73"/>
      <c r="U194" s="73"/>
      <c r="V194" s="73"/>
      <c r="W194" s="73"/>
    </row>
    <row r="195" spans="1:24" s="29" customFormat="1" ht="15.75" customHeight="1" thickTop="1" x14ac:dyDescent="0.25">
      <c r="A195"/>
      <c r="B195" s="51"/>
      <c r="C195" s="74"/>
      <c r="D195" s="74"/>
      <c r="E195" s="74"/>
      <c r="F195" s="74"/>
      <c r="G195" s="75"/>
      <c r="H195" s="75"/>
      <c r="I195" s="74"/>
      <c r="J195" s="74"/>
      <c r="K195" s="74"/>
      <c r="L195" s="74" t="s">
        <v>508</v>
      </c>
      <c r="M195" s="74" t="s">
        <v>508</v>
      </c>
      <c r="N195" s="74" t="s">
        <v>508</v>
      </c>
      <c r="O195" s="56"/>
      <c r="P195" s="56"/>
      <c r="Q195" s="56"/>
      <c r="R195" s="56"/>
      <c r="S195" s="56"/>
      <c r="T195" s="76"/>
      <c r="U195" s="66"/>
      <c r="V195" s="66"/>
      <c r="W195" s="66"/>
      <c r="X195" s="44"/>
    </row>
    <row r="196" spans="1:24" s="29" customFormat="1" ht="15.75" customHeight="1" x14ac:dyDescent="0.25">
      <c r="A196"/>
      <c r="B196" s="53"/>
      <c r="C196" s="80"/>
      <c r="D196" s="80"/>
      <c r="E196" s="80"/>
      <c r="F196" s="80"/>
      <c r="G196" s="81"/>
      <c r="H196" s="81"/>
      <c r="I196" s="80"/>
      <c r="J196" s="80"/>
      <c r="K196" s="80"/>
      <c r="L196" s="80"/>
      <c r="M196" s="80"/>
      <c r="N196" s="80"/>
      <c r="O196" s="56"/>
      <c r="P196" s="56"/>
      <c r="Q196" s="56"/>
      <c r="R196" s="56"/>
      <c r="S196" s="56"/>
      <c r="T196" s="76"/>
      <c r="U196" s="66"/>
      <c r="V196" s="66"/>
      <c r="W196" s="66"/>
      <c r="X196" s="41"/>
    </row>
    <row r="197" spans="1:24" s="29" customFormat="1" ht="15.75" customHeight="1" x14ac:dyDescent="0.25">
      <c r="A197"/>
      <c r="B197" s="56" t="s">
        <v>236</v>
      </c>
      <c r="C197" s="56" t="s">
        <v>523</v>
      </c>
      <c r="D197" s="56" t="s">
        <v>290</v>
      </c>
      <c r="E197" s="56" t="s">
        <v>291</v>
      </c>
      <c r="F197" s="56"/>
      <c r="G197" s="68">
        <v>20193.66</v>
      </c>
      <c r="H197" s="68"/>
      <c r="I197" s="69">
        <f>100*L197/(10444.644*1000)</f>
        <v>0.1776029896279854</v>
      </c>
      <c r="J197" s="69">
        <f>100*M197/(10444.644*1000)</f>
        <v>0.23607314907047094</v>
      </c>
      <c r="K197" s="69">
        <f>100*N197/(10444.644*1000)</f>
        <v>0.30161870524261047</v>
      </c>
      <c r="L197" s="70">
        <v>18550</v>
      </c>
      <c r="M197" s="70">
        <v>24657</v>
      </c>
      <c r="N197" s="70">
        <v>31503</v>
      </c>
      <c r="O197" s="56">
        <v>2019</v>
      </c>
      <c r="P197" s="56"/>
      <c r="Q197" s="56" t="s">
        <v>709</v>
      </c>
      <c r="R197" s="56" t="s">
        <v>1508</v>
      </c>
      <c r="S197" s="56" t="s">
        <v>1509</v>
      </c>
      <c r="T197" s="66" t="s">
        <v>611</v>
      </c>
      <c r="U197" s="66" t="s">
        <v>1511</v>
      </c>
      <c r="V197" s="66" t="s">
        <v>1510</v>
      </c>
      <c r="W197" s="66" t="s">
        <v>1575</v>
      </c>
    </row>
    <row r="198" spans="1:24" s="67" customFormat="1" ht="15.75" customHeight="1" x14ac:dyDescent="0.25">
      <c r="B198" s="94" t="s">
        <v>236</v>
      </c>
      <c r="C198" s="94" t="s">
        <v>523</v>
      </c>
      <c r="D198" s="94" t="s">
        <v>306</v>
      </c>
      <c r="E198" s="94" t="s">
        <v>307</v>
      </c>
      <c r="F198" s="94"/>
      <c r="G198" s="95">
        <v>56719.16</v>
      </c>
      <c r="H198" s="95"/>
      <c r="I198" s="96">
        <f>100*L198/(55275.782*1000)</f>
        <v>0.33106722940618011</v>
      </c>
      <c r="J198" s="96">
        <f>100*M198/(55275.782*1000)</f>
        <v>0.37629499298625935</v>
      </c>
      <c r="K198" s="96">
        <f>100*N198/(55275.782*1000)</f>
        <v>0.43056830928235446</v>
      </c>
      <c r="L198" s="97">
        <v>183000</v>
      </c>
      <c r="M198" s="97">
        <v>208000</v>
      </c>
      <c r="N198" s="97">
        <v>238000</v>
      </c>
      <c r="O198" s="94">
        <v>2013</v>
      </c>
      <c r="P198" s="94" t="s">
        <v>691</v>
      </c>
      <c r="Q198" s="94" t="s">
        <v>692</v>
      </c>
      <c r="R198" s="94" t="s">
        <v>693</v>
      </c>
      <c r="S198" s="94" t="s">
        <v>697</v>
      </c>
      <c r="T198" s="98" t="s">
        <v>15</v>
      </c>
      <c r="U198" s="98" t="s">
        <v>754</v>
      </c>
      <c r="V198" s="98" t="s">
        <v>889</v>
      </c>
      <c r="W198" s="98" t="s">
        <v>901</v>
      </c>
    </row>
    <row r="199" spans="1:24" s="29" customFormat="1" ht="15.75" customHeight="1" x14ac:dyDescent="0.25">
      <c r="A199"/>
      <c r="B199" s="56" t="s">
        <v>236</v>
      </c>
      <c r="C199" s="56" t="s">
        <v>523</v>
      </c>
      <c r="D199" s="56" t="s">
        <v>313</v>
      </c>
      <c r="E199" s="56" t="s">
        <v>314</v>
      </c>
      <c r="F199" s="56"/>
      <c r="G199" s="68">
        <v>128222.88</v>
      </c>
      <c r="H199" s="68"/>
      <c r="I199" s="69">
        <v>0.3</v>
      </c>
      <c r="J199" s="69">
        <v>0.4</v>
      </c>
      <c r="K199" s="69">
        <v>0.5</v>
      </c>
      <c r="L199" s="70"/>
      <c r="M199" s="70">
        <v>430000</v>
      </c>
      <c r="N199" s="70"/>
      <c r="O199" s="56">
        <v>2012</v>
      </c>
      <c r="P199" s="56" t="s">
        <v>691</v>
      </c>
      <c r="Q199" s="56" t="s">
        <v>709</v>
      </c>
      <c r="R199" s="56" t="s">
        <v>693</v>
      </c>
      <c r="S199" s="56" t="s">
        <v>720</v>
      </c>
      <c r="T199" s="66" t="s">
        <v>506</v>
      </c>
      <c r="U199" s="66" t="s">
        <v>757</v>
      </c>
      <c r="V199" s="66" t="s">
        <v>522</v>
      </c>
      <c r="W199" s="66" t="s">
        <v>779</v>
      </c>
    </row>
    <row r="200" spans="1:24" s="29" customFormat="1" ht="15.75" customHeight="1" x14ac:dyDescent="0.25">
      <c r="A200"/>
      <c r="B200" s="56"/>
      <c r="C200" s="56"/>
      <c r="D200" s="56"/>
      <c r="E200" s="56"/>
      <c r="F200" s="56"/>
      <c r="G200" s="68"/>
      <c r="H200" s="68"/>
      <c r="I200" s="69"/>
      <c r="J200" s="69"/>
      <c r="K200" s="69"/>
      <c r="L200" s="70"/>
      <c r="M200" s="70"/>
      <c r="N200" s="70"/>
      <c r="O200" s="56"/>
      <c r="P200" s="56"/>
      <c r="Q200" s="56"/>
      <c r="R200" s="56"/>
      <c r="S200" s="56"/>
      <c r="T200" s="66"/>
      <c r="U200" s="66"/>
      <c r="V200" s="66"/>
      <c r="W200" s="66"/>
    </row>
    <row r="201" spans="1:24" s="29" customFormat="1" ht="15.75" customHeight="1" thickBot="1" x14ac:dyDescent="0.3">
      <c r="A201"/>
      <c r="B201" s="72"/>
      <c r="C201" s="72"/>
      <c r="D201" s="72"/>
      <c r="E201" s="72"/>
      <c r="F201" s="72"/>
      <c r="G201" s="54"/>
      <c r="H201" s="99"/>
      <c r="I201" s="100"/>
      <c r="J201" s="55"/>
      <c r="K201" s="100"/>
      <c r="L201" s="101"/>
      <c r="M201" s="101"/>
      <c r="N201" s="101"/>
      <c r="O201" s="72"/>
      <c r="P201" s="72"/>
      <c r="Q201" s="72"/>
      <c r="R201" s="72"/>
      <c r="S201" s="72"/>
      <c r="T201" s="73"/>
      <c r="U201" s="73"/>
      <c r="V201" s="73"/>
      <c r="W201" s="73"/>
      <c r="X201" s="46"/>
    </row>
    <row r="202" spans="1:24" s="29" customFormat="1" ht="15.75" customHeight="1" thickTop="1" x14ac:dyDescent="0.25">
      <c r="A202"/>
      <c r="B202" s="56"/>
      <c r="C202" s="56"/>
      <c r="D202" s="56"/>
      <c r="E202" s="56"/>
      <c r="F202" s="56"/>
      <c r="G202" s="68"/>
      <c r="H202" s="68"/>
      <c r="I202" s="69"/>
      <c r="J202" s="69"/>
      <c r="K202" s="69"/>
      <c r="L202" s="70"/>
      <c r="M202" s="70"/>
      <c r="N202" s="70"/>
      <c r="O202" s="56"/>
      <c r="P202" s="56"/>
      <c r="Q202" s="56"/>
      <c r="R202" s="56"/>
      <c r="S202" s="56"/>
      <c r="T202" s="66"/>
      <c r="U202" s="66"/>
      <c r="V202" s="66"/>
      <c r="W202" s="66"/>
    </row>
    <row r="203" spans="1:24" s="29" customFormat="1" ht="15.75" customHeight="1" x14ac:dyDescent="0.25">
      <c r="A203"/>
      <c r="B203" s="56" t="s">
        <v>236</v>
      </c>
      <c r="C203" s="56" t="s">
        <v>524</v>
      </c>
      <c r="D203" s="56" t="s">
        <v>292</v>
      </c>
      <c r="E203" s="56" t="s">
        <v>293</v>
      </c>
      <c r="F203" s="56"/>
      <c r="G203" s="68">
        <v>5037.1000000000004</v>
      </c>
      <c r="H203" s="68"/>
      <c r="I203" s="69"/>
      <c r="J203" s="69">
        <v>0.5</v>
      </c>
      <c r="K203" s="69"/>
      <c r="L203" s="70" t="s">
        <v>508</v>
      </c>
      <c r="M203" s="70"/>
      <c r="N203" s="70" t="s">
        <v>508</v>
      </c>
      <c r="O203" s="56">
        <v>2016</v>
      </c>
      <c r="P203" s="56"/>
      <c r="Q203" s="56"/>
      <c r="R203" s="56"/>
      <c r="S203" s="56" t="s">
        <v>697</v>
      </c>
      <c r="T203" s="66" t="s">
        <v>480</v>
      </c>
      <c r="U203" s="66" t="s">
        <v>742</v>
      </c>
      <c r="V203" s="66" t="s">
        <v>1268</v>
      </c>
      <c r="W203" s="66" t="s">
        <v>959</v>
      </c>
    </row>
    <row r="204" spans="1:24" s="29" customFormat="1" ht="15.75" customHeight="1" x14ac:dyDescent="0.25">
      <c r="A204"/>
      <c r="B204" s="56" t="s">
        <v>236</v>
      </c>
      <c r="C204" s="56" t="s">
        <v>524</v>
      </c>
      <c r="D204" s="56" t="s">
        <v>294</v>
      </c>
      <c r="E204" s="56" t="s">
        <v>295</v>
      </c>
      <c r="F204" s="56"/>
      <c r="G204" s="68">
        <v>6169.33</v>
      </c>
      <c r="H204" s="68"/>
      <c r="I204" s="56"/>
      <c r="J204" s="56">
        <v>2.00000000001E-2</v>
      </c>
      <c r="K204" s="56"/>
      <c r="L204" s="70" t="s">
        <v>508</v>
      </c>
      <c r="M204" s="70">
        <v>605</v>
      </c>
      <c r="N204" s="70" t="s">
        <v>508</v>
      </c>
      <c r="O204" s="56" t="s">
        <v>20</v>
      </c>
      <c r="P204" s="56"/>
      <c r="Q204" s="56"/>
      <c r="R204" s="56"/>
      <c r="S204" s="56" t="s">
        <v>902</v>
      </c>
      <c r="T204" s="66" t="s">
        <v>480</v>
      </c>
      <c r="U204" s="66" t="s">
        <v>758</v>
      </c>
      <c r="V204" s="66" t="s">
        <v>1136</v>
      </c>
      <c r="W204" s="66" t="s">
        <v>903</v>
      </c>
    </row>
    <row r="205" spans="1:24" s="29" customFormat="1" ht="15.75" customHeight="1" x14ac:dyDescent="0.25">
      <c r="A205"/>
      <c r="B205" s="56" t="s">
        <v>236</v>
      </c>
      <c r="C205" s="56" t="s">
        <v>524</v>
      </c>
      <c r="D205" s="56" t="s">
        <v>296</v>
      </c>
      <c r="E205" s="56" t="s">
        <v>297</v>
      </c>
      <c r="F205" s="56"/>
      <c r="G205" s="68">
        <v>3141.05</v>
      </c>
      <c r="H205" s="68"/>
      <c r="I205" s="69"/>
      <c r="J205" s="69">
        <f>100*M205/(3140.66*1000)</f>
        <v>7.3233014716651917E-2</v>
      </c>
      <c r="K205" s="69"/>
      <c r="L205" s="70" t="s">
        <v>508</v>
      </c>
      <c r="M205" s="70">
        <v>2300</v>
      </c>
      <c r="N205" s="70" t="s">
        <v>508</v>
      </c>
      <c r="O205" s="56">
        <v>2018</v>
      </c>
      <c r="P205" s="56"/>
      <c r="Q205" s="56"/>
      <c r="R205" s="56"/>
      <c r="S205" s="56"/>
      <c r="T205" s="66" t="s">
        <v>528</v>
      </c>
      <c r="U205" s="66"/>
      <c r="V205" s="71" t="s">
        <v>1568</v>
      </c>
      <c r="W205" s="66"/>
    </row>
    <row r="206" spans="1:24" s="29" customFormat="1" ht="15.75" customHeight="1" x14ac:dyDescent="0.25">
      <c r="A206"/>
      <c r="B206" s="56" t="s">
        <v>236</v>
      </c>
      <c r="C206" s="56" t="s">
        <v>524</v>
      </c>
      <c r="D206" s="56" t="s">
        <v>298</v>
      </c>
      <c r="E206" s="56" t="s">
        <v>299</v>
      </c>
      <c r="F206" s="56"/>
      <c r="G206" s="68">
        <v>4589.08</v>
      </c>
      <c r="H206" s="68"/>
      <c r="I206" s="69">
        <f>100*L206/(3970.975*1000)</f>
        <v>2.0448378546830438E-2</v>
      </c>
      <c r="J206" s="69">
        <f>100*M206/(3970.975*1000)</f>
        <v>7.8419028072450714E-2</v>
      </c>
      <c r="K206" s="69">
        <f>100*N206/(3970.975*1000)</f>
        <v>0.136389677598071</v>
      </c>
      <c r="L206" s="70">
        <v>812</v>
      </c>
      <c r="M206" s="70">
        <v>3114</v>
      </c>
      <c r="N206" s="70">
        <v>5416</v>
      </c>
      <c r="O206" s="56">
        <v>2015</v>
      </c>
      <c r="P206" s="56" t="s">
        <v>721</v>
      </c>
      <c r="Q206" s="56"/>
      <c r="R206" s="56" t="s">
        <v>693</v>
      </c>
      <c r="S206" s="56" t="s">
        <v>697</v>
      </c>
      <c r="T206" s="66" t="s">
        <v>680</v>
      </c>
      <c r="U206" s="66" t="s">
        <v>1289</v>
      </c>
      <c r="V206" s="66" t="s">
        <v>904</v>
      </c>
      <c r="W206" s="66" t="s">
        <v>780</v>
      </c>
    </row>
    <row r="207" spans="1:24" s="29" customFormat="1" ht="15.75" customHeight="1" x14ac:dyDescent="0.25">
      <c r="A207"/>
      <c r="B207" s="56" t="s">
        <v>236</v>
      </c>
      <c r="C207" s="56" t="s">
        <v>524</v>
      </c>
      <c r="D207" s="56" t="s">
        <v>311</v>
      </c>
      <c r="E207" s="56" t="s">
        <v>312</v>
      </c>
      <c r="F207" s="56"/>
      <c r="G207" s="68">
        <v>3641.47</v>
      </c>
      <c r="H207" s="68"/>
      <c r="I207" s="69"/>
      <c r="J207" s="69">
        <v>0.09</v>
      </c>
      <c r="K207" s="69"/>
      <c r="L207" s="70"/>
      <c r="M207" s="70">
        <v>2922</v>
      </c>
      <c r="N207" s="70"/>
      <c r="O207" s="56" t="s">
        <v>1021</v>
      </c>
      <c r="P207" s="56"/>
      <c r="Q207" s="56" t="s">
        <v>492</v>
      </c>
      <c r="R207" s="56"/>
      <c r="S207" s="56" t="s">
        <v>697</v>
      </c>
      <c r="T207" s="66" t="s">
        <v>1022</v>
      </c>
      <c r="U207" s="66" t="s">
        <v>758</v>
      </c>
      <c r="V207" s="66" t="s">
        <v>1144</v>
      </c>
      <c r="W207" s="66" t="s">
        <v>1023</v>
      </c>
    </row>
    <row r="208" spans="1:24" s="29" customFormat="1" ht="15.75" customHeight="1" x14ac:dyDescent="0.25">
      <c r="A208"/>
      <c r="B208" s="56" t="s">
        <v>236</v>
      </c>
      <c r="C208" s="56" t="s">
        <v>524</v>
      </c>
      <c r="D208" s="56" t="s">
        <v>300</v>
      </c>
      <c r="E208" s="56" t="s">
        <v>301</v>
      </c>
      <c r="F208" s="56"/>
      <c r="G208" s="68">
        <v>24147.82</v>
      </c>
      <c r="H208" s="68"/>
      <c r="I208" s="69"/>
      <c r="J208" s="79">
        <f>100*M208/(23563.948*1000)</f>
        <v>2.2364673356094658E-3</v>
      </c>
      <c r="K208" s="69"/>
      <c r="L208" s="70"/>
      <c r="M208" s="70">
        <v>527</v>
      </c>
      <c r="N208" s="70"/>
      <c r="O208" s="56">
        <v>2017</v>
      </c>
      <c r="P208" s="56"/>
      <c r="Q208" s="56"/>
      <c r="R208" s="56"/>
      <c r="S208" s="56" t="s">
        <v>1205</v>
      </c>
      <c r="T208" s="66" t="s">
        <v>480</v>
      </c>
      <c r="U208" s="66" t="s">
        <v>1204</v>
      </c>
      <c r="V208" s="66" t="s">
        <v>1074</v>
      </c>
      <c r="W208" s="66" t="s">
        <v>1206</v>
      </c>
    </row>
    <row r="209" spans="1:24" s="29" customFormat="1" ht="15.75" customHeight="1" x14ac:dyDescent="0.25">
      <c r="A209"/>
      <c r="B209" s="56"/>
      <c r="C209" s="56"/>
      <c r="D209" s="56"/>
      <c r="E209" s="56"/>
      <c r="F209" s="56"/>
      <c r="G209" s="68"/>
      <c r="H209" s="68"/>
      <c r="I209" s="56"/>
      <c r="J209" s="56"/>
      <c r="K209" s="56"/>
      <c r="L209" s="56" t="s">
        <v>508</v>
      </c>
      <c r="M209" s="56" t="s">
        <v>508</v>
      </c>
      <c r="N209" s="56" t="s">
        <v>508</v>
      </c>
      <c r="O209" s="56"/>
      <c r="P209" s="56"/>
      <c r="Q209" s="56"/>
      <c r="R209" s="56"/>
      <c r="S209" s="56"/>
      <c r="T209" s="66"/>
      <c r="U209" s="66"/>
      <c r="V209" s="66"/>
      <c r="W209" s="66"/>
    </row>
    <row r="210" spans="1:24" s="29" customFormat="1" ht="15.75" customHeight="1" x14ac:dyDescent="0.25">
      <c r="A210"/>
      <c r="B210" s="56"/>
      <c r="C210" s="56"/>
      <c r="D210" s="56"/>
      <c r="E210" s="56"/>
      <c r="F210" s="56"/>
      <c r="G210" s="68"/>
      <c r="H210" s="68"/>
      <c r="I210" s="56"/>
      <c r="J210" s="56"/>
      <c r="K210" s="56"/>
      <c r="L210" s="70" t="s">
        <v>508</v>
      </c>
      <c r="M210" s="70" t="s">
        <v>508</v>
      </c>
      <c r="N210" s="70" t="s">
        <v>508</v>
      </c>
      <c r="O210" s="56"/>
      <c r="P210" s="56"/>
      <c r="Q210" s="56"/>
      <c r="R210" s="56"/>
      <c r="S210" s="56"/>
      <c r="T210" s="66"/>
      <c r="U210" s="66"/>
      <c r="V210" s="66"/>
      <c r="W210" s="66"/>
    </row>
    <row r="211" spans="1:24" s="29" customFormat="1" ht="15.75" customHeight="1" x14ac:dyDescent="0.25">
      <c r="A211"/>
      <c r="B211" s="56" t="s">
        <v>236</v>
      </c>
      <c r="C211" s="56" t="s">
        <v>524</v>
      </c>
      <c r="D211" s="56" t="s">
        <v>304</v>
      </c>
      <c r="E211" s="56" t="s">
        <v>305</v>
      </c>
      <c r="F211" s="56"/>
      <c r="G211" s="68">
        <v>1229.25</v>
      </c>
      <c r="H211" s="68"/>
      <c r="I211" s="69" t="s">
        <v>1645</v>
      </c>
      <c r="J211" s="69"/>
      <c r="K211" s="69"/>
      <c r="L211" s="70" t="s">
        <v>508</v>
      </c>
      <c r="M211" s="70" t="s">
        <v>508</v>
      </c>
      <c r="N211" s="70" t="s">
        <v>508</v>
      </c>
      <c r="O211" s="56"/>
      <c r="P211" s="56"/>
      <c r="Q211" s="56"/>
      <c r="R211" s="56"/>
      <c r="S211" s="56"/>
      <c r="T211" s="66"/>
      <c r="U211" s="66"/>
      <c r="V211" s="66"/>
      <c r="W211" s="66"/>
    </row>
    <row r="212" spans="1:24" s="29" customFormat="1" ht="15.75" customHeight="1" x14ac:dyDescent="0.25">
      <c r="A212"/>
      <c r="B212" s="56" t="s">
        <v>236</v>
      </c>
      <c r="C212" s="56" t="s">
        <v>524</v>
      </c>
      <c r="D212" s="56" t="s">
        <v>308</v>
      </c>
      <c r="E212" s="56" t="s">
        <v>309</v>
      </c>
      <c r="F212" s="56"/>
      <c r="G212" s="68">
        <v>22402.89</v>
      </c>
      <c r="H212" s="68"/>
      <c r="I212" s="69" t="s">
        <v>1645</v>
      </c>
      <c r="J212" s="69"/>
      <c r="K212" s="69"/>
      <c r="L212" s="70" t="s">
        <v>508</v>
      </c>
      <c r="M212" s="70" t="s">
        <v>508</v>
      </c>
      <c r="N212" s="70" t="s">
        <v>508</v>
      </c>
      <c r="O212" s="56"/>
      <c r="P212" s="56"/>
      <c r="Q212" s="56"/>
      <c r="R212" s="56"/>
      <c r="S212" s="56"/>
      <c r="T212" s="66"/>
      <c r="U212" s="66"/>
      <c r="V212" s="66"/>
      <c r="W212" s="66"/>
    </row>
    <row r="213" spans="1:24" s="29" customFormat="1" ht="15.75" customHeight="1" x14ac:dyDescent="0.25">
      <c r="A213"/>
      <c r="B213" s="56" t="s">
        <v>236</v>
      </c>
      <c r="C213" s="56" t="s">
        <v>524</v>
      </c>
      <c r="D213" s="56" t="s">
        <v>310</v>
      </c>
      <c r="E213" s="56" t="s">
        <v>0</v>
      </c>
      <c r="F213" s="56"/>
      <c r="G213" s="68">
        <v>2816.61</v>
      </c>
      <c r="H213" s="68"/>
      <c r="I213" s="69" t="s">
        <v>1645</v>
      </c>
      <c r="J213" s="69"/>
      <c r="K213" s="69"/>
      <c r="L213" s="70" t="s">
        <v>508</v>
      </c>
      <c r="M213" s="70" t="s">
        <v>508</v>
      </c>
      <c r="N213" s="70" t="s">
        <v>508</v>
      </c>
      <c r="O213" s="56"/>
      <c r="P213" s="56"/>
      <c r="Q213" s="56"/>
      <c r="R213" s="56"/>
      <c r="S213" s="56"/>
      <c r="T213" s="66"/>
      <c r="U213" s="66"/>
      <c r="V213" s="66"/>
      <c r="W213" s="66"/>
    </row>
    <row r="214" spans="1:24" s="29" customFormat="1" ht="15.75" customHeight="1" x14ac:dyDescent="0.25">
      <c r="A214"/>
      <c r="B214" s="56" t="s">
        <v>236</v>
      </c>
      <c r="C214" s="56" t="s">
        <v>524</v>
      </c>
      <c r="D214" s="56" t="s">
        <v>315</v>
      </c>
      <c r="E214" s="56" t="s">
        <v>316</v>
      </c>
      <c r="F214" s="56"/>
      <c r="G214" s="68">
        <v>2367.09</v>
      </c>
      <c r="H214" s="68"/>
      <c r="I214" s="69" t="s">
        <v>1645</v>
      </c>
      <c r="J214" s="69"/>
      <c r="K214" s="69"/>
      <c r="L214" s="70" t="s">
        <v>508</v>
      </c>
      <c r="M214" s="70" t="s">
        <v>508</v>
      </c>
      <c r="N214" s="70" t="s">
        <v>508</v>
      </c>
      <c r="O214" s="56"/>
      <c r="P214" s="56"/>
      <c r="Q214" s="56"/>
      <c r="R214" s="56"/>
      <c r="S214" s="56"/>
      <c r="T214" s="66"/>
      <c r="U214" s="66"/>
      <c r="V214" s="66"/>
      <c r="W214" s="66"/>
    </row>
    <row r="215" spans="1:24" s="29" customFormat="1" ht="15.75" customHeight="1" x14ac:dyDescent="0.25">
      <c r="A215"/>
      <c r="B215" s="56" t="s">
        <v>236</v>
      </c>
      <c r="C215" s="56" t="s">
        <v>524</v>
      </c>
      <c r="D215" s="56" t="s">
        <v>317</v>
      </c>
      <c r="E215" s="56" t="s">
        <v>318</v>
      </c>
      <c r="F215" s="56"/>
      <c r="G215" s="68">
        <v>10857.6</v>
      </c>
      <c r="H215" s="68"/>
      <c r="I215" s="69" t="s">
        <v>1645</v>
      </c>
      <c r="J215" s="69"/>
      <c r="K215" s="69"/>
      <c r="L215" s="70" t="s">
        <v>508</v>
      </c>
      <c r="M215" s="70" t="s">
        <v>508</v>
      </c>
      <c r="N215" s="70" t="s">
        <v>508</v>
      </c>
      <c r="O215" s="56"/>
      <c r="P215" s="56"/>
      <c r="Q215" s="56"/>
      <c r="R215" s="56"/>
      <c r="S215" s="56"/>
      <c r="T215" s="66"/>
      <c r="U215" s="66"/>
      <c r="V215" s="66"/>
      <c r="W215" s="66"/>
    </row>
    <row r="216" spans="1:24" s="29" customFormat="1" ht="15.75" customHeight="1" x14ac:dyDescent="0.25">
      <c r="A216"/>
      <c r="B216" s="56" t="s">
        <v>236</v>
      </c>
      <c r="C216" s="56" t="s">
        <v>524</v>
      </c>
      <c r="D216" s="56" t="s">
        <v>302</v>
      </c>
      <c r="E216" s="56" t="s">
        <v>303</v>
      </c>
      <c r="F216" s="56"/>
      <c r="G216" s="68">
        <v>8116.78</v>
      </c>
      <c r="H216" s="68"/>
      <c r="I216" s="69" t="s">
        <v>1645</v>
      </c>
      <c r="J216" s="69"/>
      <c r="K216" s="69"/>
      <c r="L216" s="70" t="s">
        <v>508</v>
      </c>
      <c r="M216" s="70" t="s">
        <v>508</v>
      </c>
      <c r="N216" s="70" t="s">
        <v>508</v>
      </c>
      <c r="O216" s="56"/>
      <c r="P216" s="56"/>
      <c r="Q216" s="56"/>
      <c r="R216" s="56"/>
      <c r="S216" s="56"/>
      <c r="T216" s="66"/>
      <c r="U216" s="66"/>
      <c r="V216" s="66"/>
      <c r="W216" s="66"/>
    </row>
    <row r="217" spans="1:24" s="29" customFormat="1" ht="15.75" customHeight="1" x14ac:dyDescent="0.25">
      <c r="A217"/>
      <c r="B217" s="56" t="s">
        <v>236</v>
      </c>
      <c r="C217" s="56" t="s">
        <v>524</v>
      </c>
      <c r="D217" s="56" t="s">
        <v>319</v>
      </c>
      <c r="E217" s="56" t="s">
        <v>320</v>
      </c>
      <c r="F217" s="56"/>
      <c r="G217" s="68">
        <v>16389.259999999998</v>
      </c>
      <c r="H217" s="68"/>
      <c r="I217" s="69" t="s">
        <v>1645</v>
      </c>
      <c r="J217" s="69"/>
      <c r="K217" s="69"/>
      <c r="L217" s="70"/>
      <c r="M217" s="70"/>
      <c r="N217" s="70"/>
      <c r="O217" s="56"/>
      <c r="P217" s="56"/>
      <c r="Q217" s="56"/>
      <c r="R217" s="56"/>
      <c r="S217" s="56"/>
      <c r="T217" s="66"/>
      <c r="U217" s="66"/>
      <c r="V217" s="66"/>
      <c r="W217" s="66"/>
    </row>
    <row r="218" spans="1:24" s="29" customFormat="1" ht="15.75" customHeight="1" x14ac:dyDescent="0.25">
      <c r="A218"/>
      <c r="B218" s="56"/>
      <c r="C218" s="56"/>
      <c r="D218" s="56"/>
      <c r="E218" s="56"/>
      <c r="F218" s="56"/>
      <c r="G218" s="68"/>
      <c r="H218" s="68"/>
      <c r="I218" s="56"/>
      <c r="J218" s="56"/>
      <c r="K218" s="56"/>
      <c r="L218" s="70" t="s">
        <v>508</v>
      </c>
      <c r="M218" s="70" t="s">
        <v>508</v>
      </c>
      <c r="N218" s="70" t="s">
        <v>508</v>
      </c>
      <c r="O218" s="56"/>
      <c r="P218" s="56"/>
      <c r="Q218" s="56"/>
      <c r="R218" s="56"/>
      <c r="S218" s="56"/>
      <c r="T218" s="66"/>
      <c r="U218" s="66"/>
      <c r="V218" s="66"/>
      <c r="W218" s="66"/>
    </row>
    <row r="219" spans="1:24" s="29" customFormat="1" ht="15.75" customHeight="1" thickBot="1" x14ac:dyDescent="0.3">
      <c r="A219"/>
      <c r="B219" s="56"/>
      <c r="C219" s="56"/>
      <c r="D219" s="56"/>
      <c r="E219" s="56"/>
      <c r="F219" s="56"/>
      <c r="G219" s="49"/>
      <c r="H219" s="68"/>
      <c r="I219" s="50"/>
      <c r="J219" s="50"/>
      <c r="K219" s="50"/>
      <c r="L219" s="50" t="s">
        <v>508</v>
      </c>
      <c r="M219" s="50" t="s">
        <v>508</v>
      </c>
      <c r="N219" s="50" t="s">
        <v>508</v>
      </c>
      <c r="O219" s="72"/>
      <c r="P219" s="72"/>
      <c r="Q219" s="72"/>
      <c r="R219" s="72"/>
      <c r="S219" s="72"/>
      <c r="T219" s="73"/>
      <c r="U219" s="73"/>
      <c r="V219" s="73"/>
      <c r="W219" s="73"/>
    </row>
    <row r="220" spans="1:24" s="29" customFormat="1" ht="15.75" customHeight="1" thickTop="1" x14ac:dyDescent="0.25">
      <c r="A220"/>
      <c r="B220" s="74"/>
      <c r="C220" s="74"/>
      <c r="D220" s="74"/>
      <c r="E220" s="74"/>
      <c r="F220" s="74"/>
      <c r="G220" s="75"/>
      <c r="H220" s="75"/>
      <c r="I220" s="74"/>
      <c r="J220" s="74"/>
      <c r="K220" s="74"/>
      <c r="L220" s="74" t="s">
        <v>508</v>
      </c>
      <c r="M220" s="74" t="s">
        <v>508</v>
      </c>
      <c r="N220" s="74" t="s">
        <v>508</v>
      </c>
      <c r="O220" s="56"/>
      <c r="P220" s="56"/>
      <c r="Q220" s="56"/>
      <c r="R220" s="56"/>
      <c r="S220" s="56"/>
      <c r="T220" s="76"/>
      <c r="U220" s="66"/>
      <c r="V220" s="66"/>
      <c r="W220" s="66"/>
      <c r="X220" s="44"/>
    </row>
    <row r="221" spans="1:24" s="29" customFormat="1" ht="15.75" customHeight="1" x14ac:dyDescent="0.25">
      <c r="A221"/>
      <c r="B221" s="56" t="s">
        <v>236</v>
      </c>
      <c r="C221" s="56" t="s">
        <v>321</v>
      </c>
      <c r="D221" s="56" t="s">
        <v>322</v>
      </c>
      <c r="E221" s="56" t="s">
        <v>323</v>
      </c>
      <c r="F221" s="56"/>
      <c r="G221" s="68">
        <v>108341.19</v>
      </c>
      <c r="H221" s="68"/>
      <c r="I221" s="79">
        <f>100*L221/(105580.087*1000)</f>
        <v>2.4802025404657983E-2</v>
      </c>
      <c r="J221" s="79">
        <f>100*M221/(105580.087*1000)</f>
        <v>2.8060215559398052E-2</v>
      </c>
      <c r="K221" s="79">
        <f>100*N221/(105580.087*1000)</f>
        <v>3.1319352862438921E-2</v>
      </c>
      <c r="L221" s="70">
        <v>26186</v>
      </c>
      <c r="M221" s="70">
        <v>29626</v>
      </c>
      <c r="N221" s="70">
        <v>33067</v>
      </c>
      <c r="O221" s="56">
        <v>2015</v>
      </c>
      <c r="P221" s="56" t="s">
        <v>691</v>
      </c>
      <c r="Q221" s="56" t="s">
        <v>722</v>
      </c>
      <c r="R221" s="56" t="s">
        <v>693</v>
      </c>
      <c r="S221" s="56" t="s">
        <v>723</v>
      </c>
      <c r="T221" s="66" t="s">
        <v>633</v>
      </c>
      <c r="U221" s="66" t="s">
        <v>751</v>
      </c>
      <c r="V221" s="66" t="s">
        <v>660</v>
      </c>
      <c r="W221" s="66" t="s">
        <v>781</v>
      </c>
    </row>
    <row r="222" spans="1:24" s="29" customFormat="1" ht="15.75" customHeight="1" x14ac:dyDescent="0.25">
      <c r="A222"/>
      <c r="B222" s="56" t="s">
        <v>236</v>
      </c>
      <c r="C222" s="56" t="s">
        <v>321</v>
      </c>
      <c r="D222" s="56" t="s">
        <v>326</v>
      </c>
      <c r="E222" s="56" t="s">
        <v>327</v>
      </c>
      <c r="F222" s="56"/>
      <c r="G222" s="68">
        <v>903115.18</v>
      </c>
      <c r="H222" s="68"/>
      <c r="I222" s="69"/>
      <c r="J222" s="69">
        <f>100*M222/(887563*1000)</f>
        <v>9.6251871698121716E-2</v>
      </c>
      <c r="K222" s="69"/>
      <c r="L222" s="70" t="s">
        <v>508</v>
      </c>
      <c r="M222" s="70">
        <v>854296</v>
      </c>
      <c r="N222" s="70" t="s">
        <v>508</v>
      </c>
      <c r="O222" s="56">
        <v>2018</v>
      </c>
      <c r="P222" s="56" t="s">
        <v>721</v>
      </c>
      <c r="Q222" s="85" t="s">
        <v>1611</v>
      </c>
      <c r="R222" s="56" t="s">
        <v>693</v>
      </c>
      <c r="S222" s="56" t="s">
        <v>1346</v>
      </c>
      <c r="T222" s="66" t="s">
        <v>1343</v>
      </c>
      <c r="U222" s="66" t="s">
        <v>1344</v>
      </c>
      <c r="V222" s="66" t="s">
        <v>1345</v>
      </c>
      <c r="W222" s="66" t="s">
        <v>1347</v>
      </c>
    </row>
    <row r="223" spans="1:24" s="29" customFormat="1" ht="15.75" customHeight="1" x14ac:dyDescent="0.25">
      <c r="A223"/>
      <c r="B223" s="56" t="s">
        <v>236</v>
      </c>
      <c r="C223" s="56" t="s">
        <v>321</v>
      </c>
      <c r="D223" s="56" t="s">
        <v>328</v>
      </c>
      <c r="E223" s="56" t="s">
        <v>329</v>
      </c>
      <c r="F223" s="56"/>
      <c r="G223" s="68">
        <v>393.07</v>
      </c>
      <c r="H223" s="68"/>
      <c r="I223" s="56">
        <v>0.32000000099999998</v>
      </c>
      <c r="J223" s="56">
        <v>0.37000000100000002</v>
      </c>
      <c r="K223" s="56">
        <v>0.42000000009999999</v>
      </c>
      <c r="L223" s="70">
        <v>690</v>
      </c>
      <c r="M223" s="70">
        <v>793</v>
      </c>
      <c r="N223" s="70">
        <v>896</v>
      </c>
      <c r="O223" s="56">
        <v>2010</v>
      </c>
      <c r="P223" s="56"/>
      <c r="Q223" s="56"/>
      <c r="R223" s="56"/>
      <c r="S223" s="56" t="s">
        <v>724</v>
      </c>
      <c r="T223" s="66" t="s">
        <v>479</v>
      </c>
      <c r="U223" s="66" t="s">
        <v>748</v>
      </c>
      <c r="V223" s="66" t="s">
        <v>23</v>
      </c>
      <c r="W223" s="66" t="s">
        <v>905</v>
      </c>
    </row>
    <row r="224" spans="1:24" s="29" customFormat="1" ht="15.75" customHeight="1" x14ac:dyDescent="0.25">
      <c r="A224"/>
      <c r="B224" s="56" t="s">
        <v>236</v>
      </c>
      <c r="C224" s="56" t="s">
        <v>321</v>
      </c>
      <c r="D224" s="56" t="s">
        <v>332</v>
      </c>
      <c r="E224" s="56" t="s">
        <v>333</v>
      </c>
      <c r="F224" s="56"/>
      <c r="G224" s="68">
        <v>17947.900000000001</v>
      </c>
      <c r="H224" s="68"/>
      <c r="I224" s="69">
        <f>100*L224/(18166.451*1000)</f>
        <v>0.16991761351735679</v>
      </c>
      <c r="J224" s="56"/>
      <c r="K224" s="69">
        <f>100*N224/(16348.257*1000)</f>
        <v>0.31914105583243524</v>
      </c>
      <c r="L224" s="70">
        <v>30868</v>
      </c>
      <c r="M224" s="56"/>
      <c r="N224" s="70">
        <v>52174</v>
      </c>
      <c r="O224" s="71" t="s">
        <v>1001</v>
      </c>
      <c r="P224" s="56" t="s">
        <v>1041</v>
      </c>
      <c r="Q224" s="56" t="s">
        <v>1002</v>
      </c>
      <c r="R224" s="56" t="s">
        <v>693</v>
      </c>
      <c r="S224" s="56" t="s">
        <v>1003</v>
      </c>
      <c r="T224" s="66" t="s">
        <v>479</v>
      </c>
      <c r="U224" s="66" t="s">
        <v>1616</v>
      </c>
      <c r="V224" s="66" t="s">
        <v>1004</v>
      </c>
      <c r="W224" s="66" t="s">
        <v>1000</v>
      </c>
    </row>
    <row r="225" spans="1:24" s="29" customFormat="1" ht="15.75" customHeight="1" x14ac:dyDescent="0.25">
      <c r="A225"/>
      <c r="B225" s="56" t="s">
        <v>236</v>
      </c>
      <c r="C225" s="56" t="s">
        <v>321</v>
      </c>
      <c r="D225" s="56" t="s">
        <v>330</v>
      </c>
      <c r="E225" s="56" t="s">
        <v>331</v>
      </c>
      <c r="F225" s="56"/>
      <c r="G225" s="68">
        <v>13868.69</v>
      </c>
      <c r="H225" s="68"/>
      <c r="I225" s="79">
        <f>100*L225/(13868.704*1000)</f>
        <v>4.6868113992482646E-3</v>
      </c>
      <c r="J225" s="79">
        <f>100*M225/(13868.704*1000)</f>
        <v>6.4894311681899042E-3</v>
      </c>
      <c r="K225" s="79">
        <f>100*N225/(13868.704*1000)</f>
        <v>8.6525748909198723E-3</v>
      </c>
      <c r="L225" s="70">
        <v>650</v>
      </c>
      <c r="M225" s="70">
        <v>900</v>
      </c>
      <c r="N225" s="70">
        <v>1200</v>
      </c>
      <c r="O225" s="56">
        <v>2018</v>
      </c>
      <c r="P225" s="56" t="s">
        <v>1576</v>
      </c>
      <c r="Q225" s="56"/>
      <c r="R225" s="56" t="s">
        <v>693</v>
      </c>
      <c r="S225" s="56" t="s">
        <v>697</v>
      </c>
      <c r="T225" s="66" t="s">
        <v>1366</v>
      </c>
      <c r="U225" s="66" t="s">
        <v>1617</v>
      </c>
      <c r="V225" s="66" t="s">
        <v>1577</v>
      </c>
      <c r="W225" s="66"/>
    </row>
    <row r="226" spans="1:24" s="29" customFormat="1" ht="15.75" customHeight="1" x14ac:dyDescent="0.25">
      <c r="A226"/>
      <c r="B226" s="56"/>
      <c r="C226" s="56"/>
      <c r="D226" s="56"/>
      <c r="E226" s="56"/>
      <c r="F226" s="56"/>
      <c r="G226" s="68"/>
      <c r="H226" s="68"/>
      <c r="I226" s="56"/>
      <c r="J226" s="56"/>
      <c r="K226" s="56"/>
      <c r="L226" s="56" t="s">
        <v>508</v>
      </c>
      <c r="M226" s="56" t="s">
        <v>508</v>
      </c>
      <c r="N226" s="56" t="s">
        <v>508</v>
      </c>
      <c r="O226" s="56"/>
      <c r="P226" s="56"/>
      <c r="Q226" s="56"/>
      <c r="R226" s="56"/>
      <c r="S226" s="56"/>
      <c r="T226" s="66"/>
      <c r="U226" s="66"/>
      <c r="V226" s="66"/>
      <c r="W226" s="66"/>
    </row>
    <row r="227" spans="1:24" s="29" customFormat="1" ht="15.75" customHeight="1" x14ac:dyDescent="0.25">
      <c r="A227"/>
      <c r="B227" s="56"/>
      <c r="C227" s="56"/>
      <c r="D227" s="56"/>
      <c r="E227" s="56"/>
      <c r="F227" s="56"/>
      <c r="G227" s="68"/>
      <c r="H227" s="68"/>
      <c r="I227" s="56"/>
      <c r="J227" s="56"/>
      <c r="K227" s="56"/>
      <c r="L227" s="70" t="s">
        <v>508</v>
      </c>
      <c r="M227" s="70" t="s">
        <v>508</v>
      </c>
      <c r="N227" s="70" t="s">
        <v>508</v>
      </c>
      <c r="O227" s="56"/>
      <c r="P227" s="56"/>
      <c r="Q227" s="56"/>
      <c r="R227" s="56"/>
      <c r="S227" s="56"/>
      <c r="T227" s="66"/>
      <c r="U227" s="66"/>
      <c r="V227" s="66"/>
      <c r="W227" s="66"/>
    </row>
    <row r="228" spans="1:24" s="29" customFormat="1" ht="15.75" customHeight="1" x14ac:dyDescent="0.25">
      <c r="A228"/>
      <c r="B228" s="56" t="s">
        <v>236</v>
      </c>
      <c r="C228" s="56" t="s">
        <v>321</v>
      </c>
      <c r="D228" s="56" t="s">
        <v>324</v>
      </c>
      <c r="E228" s="56" t="s">
        <v>325</v>
      </c>
      <c r="F228" s="56"/>
      <c r="G228" s="68">
        <v>514.69000000000005</v>
      </c>
      <c r="H228" s="68"/>
      <c r="I228" s="69" t="s">
        <v>1645</v>
      </c>
      <c r="J228" s="69"/>
      <c r="K228" s="69"/>
      <c r="L228" s="70"/>
      <c r="M228" s="70"/>
      <c r="N228" s="70"/>
      <c r="O228" s="56"/>
      <c r="P228" s="56"/>
      <c r="Q228" s="56"/>
      <c r="R228" s="56"/>
      <c r="S228" s="56"/>
      <c r="T228" s="66"/>
      <c r="U228" s="66"/>
      <c r="V228" s="66"/>
      <c r="W228" s="66"/>
    </row>
    <row r="229" spans="1:24" s="29" customFormat="1" ht="15.75" customHeight="1" x14ac:dyDescent="0.25">
      <c r="A229"/>
      <c r="B229" s="56"/>
      <c r="C229" s="56"/>
      <c r="D229" s="56"/>
      <c r="E229" s="56"/>
      <c r="F229" s="56"/>
      <c r="G229" s="68"/>
      <c r="H229" s="68"/>
      <c r="I229" s="56"/>
      <c r="J229" s="56"/>
      <c r="K229" s="56"/>
      <c r="L229" s="70" t="s">
        <v>508</v>
      </c>
      <c r="M229" s="70" t="s">
        <v>508</v>
      </c>
      <c r="N229" s="70" t="s">
        <v>508</v>
      </c>
      <c r="O229" s="56"/>
      <c r="P229" s="56"/>
      <c r="Q229" s="56"/>
      <c r="R229" s="56"/>
      <c r="S229" s="56"/>
      <c r="T229" s="66"/>
      <c r="U229" s="66"/>
      <c r="V229" s="66"/>
      <c r="W229" s="66"/>
    </row>
    <row r="230" spans="1:24" s="29" customFormat="1" ht="15.75" customHeight="1" thickBot="1" x14ac:dyDescent="0.3">
      <c r="A230"/>
      <c r="B230" s="56"/>
      <c r="C230" s="56"/>
      <c r="D230" s="56"/>
      <c r="E230" s="56"/>
      <c r="F230" s="56"/>
      <c r="G230" s="68"/>
      <c r="H230" s="68"/>
      <c r="I230" s="56"/>
      <c r="J230" s="56"/>
      <c r="K230" s="56"/>
      <c r="L230" s="70" t="s">
        <v>508</v>
      </c>
      <c r="M230" s="70" t="s">
        <v>508</v>
      </c>
      <c r="N230" s="70" t="s">
        <v>508</v>
      </c>
      <c r="O230" s="72"/>
      <c r="P230" s="72"/>
      <c r="Q230" s="72"/>
      <c r="R230" s="72"/>
      <c r="S230" s="72"/>
      <c r="T230" s="73"/>
      <c r="U230" s="73"/>
      <c r="V230" s="73"/>
      <c r="W230" s="73"/>
    </row>
    <row r="231" spans="1:24" s="29" customFormat="1" ht="15.75" customHeight="1" thickTop="1" x14ac:dyDescent="0.25">
      <c r="A231"/>
      <c r="B231" s="74"/>
      <c r="C231" s="74"/>
      <c r="D231" s="74"/>
      <c r="E231" s="74"/>
      <c r="F231" s="74"/>
      <c r="G231" s="75"/>
      <c r="H231" s="75"/>
      <c r="I231" s="74"/>
      <c r="J231" s="74"/>
      <c r="K231" s="74"/>
      <c r="L231" s="74" t="s">
        <v>508</v>
      </c>
      <c r="M231" s="74" t="s">
        <v>508</v>
      </c>
      <c r="N231" s="74" t="s">
        <v>508</v>
      </c>
      <c r="O231" s="56"/>
      <c r="P231" s="56"/>
      <c r="Q231" s="56"/>
      <c r="R231" s="56"/>
      <c r="S231" s="56"/>
      <c r="T231" s="76"/>
      <c r="U231" s="66"/>
      <c r="V231" s="66"/>
      <c r="W231" s="66"/>
      <c r="X231" s="44"/>
    </row>
    <row r="232" spans="1:24" s="29" customFormat="1" ht="15.75" customHeight="1" x14ac:dyDescent="0.25">
      <c r="A232"/>
      <c r="B232" s="56" t="s">
        <v>334</v>
      </c>
      <c r="C232" s="56" t="s">
        <v>1613</v>
      </c>
      <c r="D232" s="56" t="s">
        <v>337</v>
      </c>
      <c r="E232" s="56" t="s">
        <v>338</v>
      </c>
      <c r="F232" s="56"/>
      <c r="G232" s="68">
        <v>6455.08</v>
      </c>
      <c r="H232" s="68"/>
      <c r="I232" s="69">
        <f>100*L232/(6642.413*1000)</f>
        <v>0.23348442802337041</v>
      </c>
      <c r="J232" s="69"/>
      <c r="K232" s="69">
        <f>100*N232/(6642.413*1000)</f>
        <v>1.0012024244803808</v>
      </c>
      <c r="L232" s="70">
        <v>15509</v>
      </c>
      <c r="M232" s="70"/>
      <c r="N232" s="70">
        <v>66504</v>
      </c>
      <c r="O232" s="56">
        <v>2015</v>
      </c>
      <c r="P232" s="56"/>
      <c r="Q232" s="56"/>
      <c r="R232" s="56"/>
      <c r="S232" s="56" t="s">
        <v>697</v>
      </c>
      <c r="T232" s="66" t="s">
        <v>682</v>
      </c>
      <c r="U232" s="66" t="s">
        <v>760</v>
      </c>
      <c r="V232" s="66" t="s">
        <v>683</v>
      </c>
      <c r="W232" s="66" t="s">
        <v>782</v>
      </c>
      <c r="X232" s="29" t="s">
        <v>508</v>
      </c>
    </row>
    <row r="233" spans="1:24" s="29" customFormat="1" ht="15.75" customHeight="1" x14ac:dyDescent="0.25">
      <c r="A233"/>
      <c r="B233" s="56" t="s">
        <v>334</v>
      </c>
      <c r="C233" s="56" t="s">
        <v>1613</v>
      </c>
      <c r="D233" s="56" t="s">
        <v>346</v>
      </c>
      <c r="E233" s="56" t="s">
        <v>497</v>
      </c>
      <c r="F233" s="56"/>
      <c r="G233" s="68">
        <v>2944.56</v>
      </c>
      <c r="H233" s="68"/>
      <c r="I233" s="69"/>
      <c r="J233" s="69">
        <f>100*M233/(1000*2944.562)</f>
        <v>1.2531575154471191</v>
      </c>
      <c r="K233" s="69"/>
      <c r="L233" s="70" t="s">
        <v>508</v>
      </c>
      <c r="M233" s="70">
        <v>36900</v>
      </c>
      <c r="N233" s="70" t="s">
        <v>508</v>
      </c>
      <c r="O233" s="56">
        <v>2017</v>
      </c>
      <c r="P233" s="56"/>
      <c r="Q233" s="56"/>
      <c r="R233" s="56"/>
      <c r="S233" s="56" t="s">
        <v>697</v>
      </c>
      <c r="T233" s="66" t="s">
        <v>528</v>
      </c>
      <c r="U233" s="66" t="s">
        <v>1490</v>
      </c>
      <c r="V233" s="71" t="s">
        <v>1568</v>
      </c>
      <c r="W233" s="66"/>
    </row>
    <row r="234" spans="1:24" s="29" customFormat="1" ht="15.75" customHeight="1" x14ac:dyDescent="0.25">
      <c r="A234"/>
      <c r="B234" s="56" t="s">
        <v>334</v>
      </c>
      <c r="C234" s="56" t="s">
        <v>1613</v>
      </c>
      <c r="D234" s="56" t="s">
        <v>351</v>
      </c>
      <c r="E234" s="56" t="s">
        <v>352</v>
      </c>
      <c r="F234" s="56"/>
      <c r="G234" s="68">
        <v>98240.47</v>
      </c>
      <c r="H234" s="68"/>
      <c r="I234" s="69"/>
      <c r="J234" s="102">
        <f>100*M234/(99216630)</f>
        <v>1.3249996497562959</v>
      </c>
      <c r="K234" s="102"/>
      <c r="L234" s="70" t="s">
        <v>508</v>
      </c>
      <c r="M234" s="70">
        <f>5*262924</f>
        <v>1314620</v>
      </c>
      <c r="N234" s="70" t="s">
        <v>508</v>
      </c>
      <c r="O234" s="56">
        <v>2016</v>
      </c>
      <c r="P234" s="56"/>
      <c r="Q234" s="56"/>
      <c r="R234" s="56"/>
      <c r="S234" s="56"/>
      <c r="T234" s="66" t="s">
        <v>483</v>
      </c>
      <c r="U234" s="66" t="s">
        <v>1040</v>
      </c>
      <c r="V234" s="66" t="s">
        <v>1039</v>
      </c>
      <c r="W234" s="66" t="s">
        <v>1042</v>
      </c>
    </row>
    <row r="235" spans="1:24" s="29" customFormat="1" ht="15.75" customHeight="1" x14ac:dyDescent="0.25">
      <c r="A235"/>
      <c r="B235" s="56" t="s">
        <v>334</v>
      </c>
      <c r="C235" s="56" t="s">
        <v>1613</v>
      </c>
      <c r="D235" s="56" t="s">
        <v>357</v>
      </c>
      <c r="E235" s="56" t="s">
        <v>358</v>
      </c>
      <c r="F235" s="56"/>
      <c r="G235" s="68">
        <v>29978.13</v>
      </c>
      <c r="H235" s="68"/>
      <c r="I235" s="56"/>
      <c r="J235" s="69">
        <f>100*M235/(29978.054*1000)</f>
        <v>1.1685214790793292</v>
      </c>
      <c r="K235" s="56"/>
      <c r="L235" s="70"/>
      <c r="M235" s="70">
        <v>350300</v>
      </c>
      <c r="N235" s="70"/>
      <c r="O235" s="56">
        <v>2018</v>
      </c>
      <c r="P235" s="56"/>
      <c r="Q235" s="56"/>
      <c r="R235" s="56"/>
      <c r="S235" s="56" t="s">
        <v>697</v>
      </c>
      <c r="T235" s="66" t="s">
        <v>528</v>
      </c>
      <c r="U235" s="66" t="s">
        <v>1492</v>
      </c>
      <c r="V235" s="66" t="s">
        <v>1580</v>
      </c>
      <c r="W235" s="66"/>
    </row>
    <row r="236" spans="1:24" s="29" customFormat="1" ht="15.75" customHeight="1" x14ac:dyDescent="0.25">
      <c r="A236"/>
      <c r="B236" s="56"/>
      <c r="C236" s="56"/>
      <c r="D236" s="56"/>
      <c r="E236" s="56"/>
      <c r="F236" s="56"/>
      <c r="G236" s="68"/>
      <c r="H236" s="68"/>
      <c r="I236" s="69"/>
      <c r="J236" s="69"/>
      <c r="K236" s="69"/>
      <c r="L236" s="70"/>
      <c r="M236" s="70"/>
      <c r="N236" s="70"/>
      <c r="O236" s="56"/>
      <c r="P236" s="56"/>
      <c r="Q236" s="56"/>
      <c r="R236" s="56"/>
      <c r="S236" s="56"/>
      <c r="T236" s="66"/>
      <c r="U236" s="66"/>
      <c r="V236" s="66"/>
      <c r="W236" s="66"/>
    </row>
    <row r="237" spans="1:24" s="29" customFormat="1" ht="15.75" customHeight="1" thickBot="1" x14ac:dyDescent="0.3">
      <c r="A237"/>
      <c r="B237" s="56"/>
      <c r="C237" s="56"/>
      <c r="D237" s="56"/>
      <c r="E237" s="56"/>
      <c r="F237" s="56"/>
      <c r="G237" s="68"/>
      <c r="H237" s="68"/>
      <c r="I237" s="56"/>
      <c r="J237" s="56"/>
      <c r="K237" s="56"/>
      <c r="L237" s="70" t="s">
        <v>508</v>
      </c>
      <c r="M237" s="70" t="s">
        <v>508</v>
      </c>
      <c r="N237" s="70" t="s">
        <v>508</v>
      </c>
      <c r="O237" s="72"/>
      <c r="P237" s="72"/>
      <c r="Q237" s="72"/>
      <c r="R237" s="72"/>
      <c r="S237" s="72"/>
      <c r="T237" s="73"/>
      <c r="U237" s="73"/>
      <c r="V237" s="73"/>
      <c r="W237" s="73"/>
    </row>
    <row r="238" spans="1:24" s="29" customFormat="1" ht="15.75" customHeight="1" thickTop="1" x14ac:dyDescent="0.25">
      <c r="A238"/>
      <c r="B238" s="74"/>
      <c r="C238" s="74"/>
      <c r="D238" s="74"/>
      <c r="E238" s="74"/>
      <c r="F238" s="74"/>
      <c r="G238" s="75"/>
      <c r="H238" s="75"/>
      <c r="I238" s="74"/>
      <c r="J238" s="74"/>
      <c r="K238" s="74"/>
      <c r="L238" s="74" t="s">
        <v>508</v>
      </c>
      <c r="M238" s="74" t="s">
        <v>508</v>
      </c>
      <c r="N238" s="74" t="s">
        <v>508</v>
      </c>
      <c r="O238" s="56"/>
      <c r="P238" s="56"/>
      <c r="Q238" s="56"/>
      <c r="R238" s="56"/>
      <c r="S238" s="56"/>
      <c r="T238" s="76"/>
      <c r="U238" s="66"/>
      <c r="V238" s="66"/>
      <c r="W238" s="66"/>
      <c r="X238" s="44"/>
    </row>
    <row r="239" spans="1:24" s="29" customFormat="1" ht="15.75" customHeight="1" x14ac:dyDescent="0.25">
      <c r="A239"/>
      <c r="B239" s="56"/>
      <c r="C239" s="56"/>
      <c r="D239" s="56"/>
      <c r="E239" s="56"/>
      <c r="F239" s="56"/>
      <c r="G239" s="68"/>
      <c r="H239" s="68"/>
      <c r="I239" s="69"/>
      <c r="J239" s="69"/>
      <c r="K239" s="69"/>
      <c r="L239" s="70"/>
      <c r="M239" s="70"/>
      <c r="N239" s="70"/>
      <c r="O239" s="56"/>
      <c r="P239" s="56"/>
      <c r="Q239" s="56"/>
      <c r="R239" s="56"/>
      <c r="S239" s="56"/>
      <c r="T239" s="66"/>
      <c r="U239" s="66"/>
      <c r="V239" s="66"/>
      <c r="W239" s="66"/>
    </row>
    <row r="240" spans="1:24" s="29" customFormat="1" ht="15.75" customHeight="1" x14ac:dyDescent="0.25">
      <c r="A240"/>
      <c r="B240" s="56" t="s">
        <v>334</v>
      </c>
      <c r="C240" s="56" t="s">
        <v>1644</v>
      </c>
      <c r="D240" s="56" t="s">
        <v>335</v>
      </c>
      <c r="E240" s="56" t="s">
        <v>336</v>
      </c>
      <c r="F240" s="56"/>
      <c r="G240" s="68">
        <v>1977.05</v>
      </c>
      <c r="H240" s="68"/>
      <c r="I240" s="69">
        <f>100*L240/(1967.02*1000)</f>
        <v>0.20335329584854248</v>
      </c>
      <c r="J240" s="69"/>
      <c r="K240" s="69">
        <f>100*N240/(1967.02*1000)</f>
        <v>0.43720958607436627</v>
      </c>
      <c r="L240" s="70">
        <v>4000</v>
      </c>
      <c r="M240" s="70" t="s">
        <v>508</v>
      </c>
      <c r="N240" s="70">
        <v>8600</v>
      </c>
      <c r="O240" s="56">
        <v>2011</v>
      </c>
      <c r="P240" s="56" t="s">
        <v>691</v>
      </c>
      <c r="Q240" s="56"/>
      <c r="R240" s="56"/>
      <c r="S240" s="56" t="s">
        <v>697</v>
      </c>
      <c r="T240" s="66" t="s">
        <v>663</v>
      </c>
      <c r="U240" s="66" t="s">
        <v>759</v>
      </c>
      <c r="V240" s="66" t="s">
        <v>1230</v>
      </c>
      <c r="W240" s="66"/>
    </row>
    <row r="241" spans="1:24" s="29" customFormat="1" ht="15.75" customHeight="1" x14ac:dyDescent="0.25">
      <c r="A241"/>
      <c r="B241" s="56" t="s">
        <v>334</v>
      </c>
      <c r="C241" s="56" t="s">
        <v>1644</v>
      </c>
      <c r="D241" s="56" t="s">
        <v>339</v>
      </c>
      <c r="E241" s="56" t="s">
        <v>340</v>
      </c>
      <c r="F241" s="56"/>
      <c r="G241" s="68">
        <v>2285.64</v>
      </c>
      <c r="H241" s="68"/>
      <c r="I241" s="69">
        <v>0.36</v>
      </c>
      <c r="J241" s="69">
        <v>0.47</v>
      </c>
      <c r="K241" s="69">
        <v>0.57999999999999996</v>
      </c>
      <c r="L241" s="70">
        <v>9500</v>
      </c>
      <c r="M241" s="70">
        <v>12500</v>
      </c>
      <c r="N241" s="70">
        <v>15500</v>
      </c>
      <c r="O241" s="56">
        <v>2012</v>
      </c>
      <c r="P241" s="56" t="s">
        <v>713</v>
      </c>
      <c r="Q241" s="56" t="s">
        <v>725</v>
      </c>
      <c r="R241" s="56" t="s">
        <v>693</v>
      </c>
      <c r="S241" s="56" t="s">
        <v>726</v>
      </c>
      <c r="T241" s="66" t="s">
        <v>580</v>
      </c>
      <c r="U241" s="66" t="s">
        <v>906</v>
      </c>
      <c r="V241" s="66" t="s">
        <v>616</v>
      </c>
      <c r="W241" s="66" t="s">
        <v>783</v>
      </c>
    </row>
    <row r="242" spans="1:24" s="29" customFormat="1" ht="15.75" customHeight="1" x14ac:dyDescent="0.25">
      <c r="A242"/>
      <c r="B242" s="56" t="s">
        <v>334</v>
      </c>
      <c r="C242" s="56" t="s">
        <v>1644</v>
      </c>
      <c r="D242" s="56" t="s">
        <v>341</v>
      </c>
      <c r="E242" s="56" t="s">
        <v>342</v>
      </c>
      <c r="F242" s="56"/>
      <c r="G242" s="68">
        <v>4539.99</v>
      </c>
      <c r="H242" s="68"/>
      <c r="I242" s="69"/>
      <c r="J242" s="69">
        <f>100*M242/(4540.01*1000)</f>
        <v>0.4185012808341832</v>
      </c>
      <c r="K242" s="69"/>
      <c r="L242" s="70" t="s">
        <v>508</v>
      </c>
      <c r="M242" s="70">
        <v>19000</v>
      </c>
      <c r="N242" s="70" t="s">
        <v>508</v>
      </c>
      <c r="O242" s="56">
        <v>2017</v>
      </c>
      <c r="P242" s="56"/>
      <c r="Q242" s="56"/>
      <c r="R242" s="56"/>
      <c r="S242" s="56" t="s">
        <v>697</v>
      </c>
      <c r="T242" s="66" t="s">
        <v>480</v>
      </c>
      <c r="U242" s="66" t="s">
        <v>744</v>
      </c>
      <c r="V242" s="66" t="s">
        <v>1578</v>
      </c>
      <c r="W242" s="66"/>
    </row>
    <row r="243" spans="1:24" s="29" customFormat="1" ht="15.75" customHeight="1" x14ac:dyDescent="0.25">
      <c r="A243"/>
      <c r="B243" s="56" t="s">
        <v>334</v>
      </c>
      <c r="C243" s="56" t="s">
        <v>1644</v>
      </c>
      <c r="D243" s="56" t="s">
        <v>343</v>
      </c>
      <c r="E243" s="56" t="s">
        <v>344</v>
      </c>
      <c r="F243" s="56"/>
      <c r="G243" s="68">
        <v>2703.4</v>
      </c>
      <c r="H243" s="68"/>
      <c r="I243" s="69">
        <v>0.17899999999999999</v>
      </c>
      <c r="J243" s="69">
        <v>0.221</v>
      </c>
      <c r="K243" s="69">
        <v>0.28699999999999998</v>
      </c>
      <c r="L243" s="70">
        <v>5147</v>
      </c>
      <c r="M243" s="70">
        <v>6344</v>
      </c>
      <c r="N243" s="70">
        <v>8255</v>
      </c>
      <c r="O243" s="56">
        <v>2015</v>
      </c>
      <c r="P243" s="56"/>
      <c r="Q243" s="56"/>
      <c r="R243" s="56"/>
      <c r="S243" s="56" t="s">
        <v>697</v>
      </c>
      <c r="T243" s="66" t="s">
        <v>484</v>
      </c>
      <c r="U243" s="66" t="s">
        <v>766</v>
      </c>
      <c r="V243" s="66" t="s">
        <v>956</v>
      </c>
      <c r="W243" s="66"/>
    </row>
    <row r="244" spans="1:24" s="29" customFormat="1" ht="15.75" customHeight="1" x14ac:dyDescent="0.25">
      <c r="A244"/>
      <c r="B244" s="56" t="s">
        <v>334</v>
      </c>
      <c r="C244" s="56" t="s">
        <v>1644</v>
      </c>
      <c r="D244" s="56" t="s">
        <v>345</v>
      </c>
      <c r="E244" s="56" t="s">
        <v>1610</v>
      </c>
      <c r="F244" s="56"/>
      <c r="G244" s="68">
        <v>1454.18</v>
      </c>
      <c r="H244" s="68"/>
      <c r="I244" s="69">
        <f>100*L244/(1000*1454.171)</f>
        <v>0.35800466382564361</v>
      </c>
      <c r="J244" s="69">
        <f>100*M244/(1000*1454.171)</f>
        <v>0.46459460407338615</v>
      </c>
      <c r="K244" s="69">
        <f>100*N244/(1000*1454.171)</f>
        <v>0.71360245803278977</v>
      </c>
      <c r="L244" s="70">
        <v>5206</v>
      </c>
      <c r="M244" s="70">
        <v>6756</v>
      </c>
      <c r="N244" s="70">
        <v>10377</v>
      </c>
      <c r="O244" s="56">
        <v>2017</v>
      </c>
      <c r="P244" s="56" t="s">
        <v>713</v>
      </c>
      <c r="Q244" s="56" t="s">
        <v>837</v>
      </c>
      <c r="R244" s="56" t="s">
        <v>1515</v>
      </c>
      <c r="S244" s="56" t="s">
        <v>715</v>
      </c>
      <c r="T244" s="66" t="s">
        <v>528</v>
      </c>
      <c r="U244" s="66" t="s">
        <v>1514</v>
      </c>
      <c r="V244" s="66" t="s">
        <v>1579</v>
      </c>
      <c r="W244" s="66" t="s">
        <v>1516</v>
      </c>
    </row>
    <row r="245" spans="1:24" s="29" customFormat="1" ht="15.75" customHeight="1" x14ac:dyDescent="0.25">
      <c r="A245"/>
      <c r="B245" s="56" t="s">
        <v>334</v>
      </c>
      <c r="C245" s="56" t="s">
        <v>1644</v>
      </c>
      <c r="D245" s="56" t="s">
        <v>347</v>
      </c>
      <c r="E245" s="56" t="s">
        <v>348</v>
      </c>
      <c r="F245" s="56"/>
      <c r="G245" s="68">
        <v>419.47</v>
      </c>
      <c r="H245" s="68"/>
      <c r="I245" s="69"/>
      <c r="J245" s="69">
        <f>100*M245/(1000*423.27)</f>
        <v>0.30311621423677559</v>
      </c>
      <c r="K245" s="69"/>
      <c r="L245" s="70" t="s">
        <v>508</v>
      </c>
      <c r="M245" s="70">
        <v>1283</v>
      </c>
      <c r="N245" s="70" t="s">
        <v>508</v>
      </c>
      <c r="O245" s="56">
        <v>2011</v>
      </c>
      <c r="P245" s="56"/>
      <c r="Q245" s="56"/>
      <c r="R245" s="56"/>
      <c r="S245" s="56" t="s">
        <v>727</v>
      </c>
      <c r="T245" s="66" t="s">
        <v>19</v>
      </c>
      <c r="U245" s="66" t="s">
        <v>761</v>
      </c>
      <c r="V245" s="66" t="s">
        <v>521</v>
      </c>
      <c r="W245" s="66" t="s">
        <v>784</v>
      </c>
    </row>
    <row r="246" spans="1:24" s="29" customFormat="1" ht="15.75" customHeight="1" x14ac:dyDescent="0.25">
      <c r="A246"/>
      <c r="B246" s="56" t="s">
        <v>334</v>
      </c>
      <c r="C246" s="56" t="s">
        <v>1644</v>
      </c>
      <c r="D246" s="56" t="s">
        <v>349</v>
      </c>
      <c r="E246" s="56" t="s">
        <v>350</v>
      </c>
      <c r="F246" s="56"/>
      <c r="G246" s="68">
        <v>12898.84</v>
      </c>
      <c r="H246" s="68"/>
      <c r="I246" s="69">
        <v>0.45445999999999998</v>
      </c>
      <c r="J246" s="69">
        <v>0.61285999999999996</v>
      </c>
      <c r="K246" s="69">
        <v>0.94076000000000004</v>
      </c>
      <c r="L246" s="70">
        <v>8016</v>
      </c>
      <c r="M246" s="70">
        <v>10810</v>
      </c>
      <c r="N246" s="70">
        <v>16593</v>
      </c>
      <c r="O246" s="56">
        <v>2018</v>
      </c>
      <c r="P246" s="56" t="s">
        <v>1632</v>
      </c>
      <c r="Q246" s="56" t="s">
        <v>1633</v>
      </c>
      <c r="R246" s="56" t="s">
        <v>693</v>
      </c>
      <c r="S246" s="56" t="s">
        <v>728</v>
      </c>
      <c r="T246" s="66" t="s">
        <v>1634</v>
      </c>
      <c r="U246" s="66" t="s">
        <v>762</v>
      </c>
      <c r="V246" s="66" t="s">
        <v>1335</v>
      </c>
      <c r="W246" s="66" t="s">
        <v>784</v>
      </c>
    </row>
    <row r="247" spans="1:24" s="29" customFormat="1" ht="15.75" customHeight="1" x14ac:dyDescent="0.25">
      <c r="A247"/>
      <c r="B247" s="56" t="s">
        <v>334</v>
      </c>
      <c r="C247" s="56" t="s">
        <v>1644</v>
      </c>
      <c r="D247" s="56" t="s">
        <v>353</v>
      </c>
      <c r="E247" s="56" t="s">
        <v>354</v>
      </c>
      <c r="F247" s="56"/>
      <c r="G247" s="68">
        <v>5806.69</v>
      </c>
      <c r="H247" s="68"/>
      <c r="I247" s="69">
        <f>100*L247/5000000</f>
        <v>0.32</v>
      </c>
      <c r="J247" s="69">
        <v>0.4</v>
      </c>
      <c r="K247" s="69">
        <f>100*N247/5000000</f>
        <v>0.56000000000000005</v>
      </c>
      <c r="L247" s="70">
        <v>16000</v>
      </c>
      <c r="M247" s="70">
        <v>20000</v>
      </c>
      <c r="N247" s="70">
        <v>28000</v>
      </c>
      <c r="O247" s="56">
        <v>2013</v>
      </c>
      <c r="P247" s="56"/>
      <c r="Q247" s="56" t="s">
        <v>709</v>
      </c>
      <c r="R247" s="56"/>
      <c r="S247" s="56" t="s">
        <v>697</v>
      </c>
      <c r="T247" s="66" t="s">
        <v>1278</v>
      </c>
      <c r="U247" s="66" t="s">
        <v>763</v>
      </c>
      <c r="V247" s="66" t="s">
        <v>686</v>
      </c>
      <c r="W247" s="56" t="s">
        <v>960</v>
      </c>
      <c r="X247" s="39" t="s">
        <v>508</v>
      </c>
    </row>
    <row r="248" spans="1:24" s="29" customFormat="1" ht="15.75" customHeight="1" x14ac:dyDescent="0.25">
      <c r="A248"/>
      <c r="B248" s="56" t="s">
        <v>334</v>
      </c>
      <c r="C248" s="56" t="s">
        <v>1644</v>
      </c>
      <c r="D248" s="56" t="s">
        <v>355</v>
      </c>
      <c r="E248" s="56" t="s">
        <v>356</v>
      </c>
      <c r="F248" s="66"/>
      <c r="G248" s="68">
        <v>55058.69</v>
      </c>
      <c r="H248" s="68"/>
      <c r="I248" s="69">
        <f>100*L248/(1000*48571.187)</f>
        <v>2.29065845148071E-2</v>
      </c>
      <c r="J248" s="69">
        <f>100*M248/(1000*48571.187)</f>
        <v>2.6215130381721987E-2</v>
      </c>
      <c r="K248" s="69">
        <f>100*N248/(1000*48571.187)</f>
        <v>5.4635271730130872E-2</v>
      </c>
      <c r="L248" s="70">
        <v>11126</v>
      </c>
      <c r="M248" s="70">
        <v>12733</v>
      </c>
      <c r="N248" s="70">
        <v>26537</v>
      </c>
      <c r="O248" s="56">
        <v>2011</v>
      </c>
      <c r="P248" s="56" t="s">
        <v>729</v>
      </c>
      <c r="Q248" s="56" t="s">
        <v>508</v>
      </c>
      <c r="R248" s="56" t="s">
        <v>508</v>
      </c>
      <c r="S248" s="56" t="s">
        <v>730</v>
      </c>
      <c r="T248" s="66" t="s">
        <v>484</v>
      </c>
      <c r="U248" s="66" t="s">
        <v>764</v>
      </c>
      <c r="V248" s="66" t="s">
        <v>530</v>
      </c>
      <c r="W248" s="66"/>
    </row>
    <row r="249" spans="1:24" s="29" customFormat="1" ht="15.75" customHeight="1" x14ac:dyDescent="0.25">
      <c r="A249"/>
      <c r="B249" s="56"/>
      <c r="C249" s="56"/>
      <c r="D249" s="56"/>
      <c r="E249" s="56"/>
      <c r="F249" s="56"/>
      <c r="G249" s="56"/>
      <c r="H249" s="56"/>
      <c r="I249" s="56"/>
      <c r="J249" s="56"/>
      <c r="K249" s="56"/>
      <c r="L249" s="56"/>
      <c r="M249" s="56"/>
      <c r="N249" s="56"/>
      <c r="O249" s="56"/>
      <c r="P249" s="56"/>
      <c r="Q249" s="56"/>
      <c r="R249" s="56"/>
      <c r="S249" s="56"/>
      <c r="T249" s="56"/>
      <c r="U249" s="56"/>
      <c r="V249" s="56"/>
      <c r="W249" s="56"/>
    </row>
    <row r="250" spans="1:24" s="29" customFormat="1" ht="15.75" customHeight="1" thickBot="1" x14ac:dyDescent="0.3">
      <c r="A250"/>
      <c r="B250" s="56"/>
      <c r="C250" s="56"/>
      <c r="D250" s="56"/>
      <c r="E250" s="56"/>
      <c r="F250" s="56"/>
      <c r="G250" s="68"/>
      <c r="H250" s="68"/>
      <c r="I250" s="56"/>
      <c r="J250" s="56"/>
      <c r="K250" s="56"/>
      <c r="L250" s="70" t="s">
        <v>508</v>
      </c>
      <c r="M250" s="70" t="s">
        <v>508</v>
      </c>
      <c r="N250" s="70" t="s">
        <v>508</v>
      </c>
      <c r="O250" s="72"/>
      <c r="P250" s="72"/>
      <c r="Q250" s="72"/>
      <c r="R250" s="72"/>
      <c r="S250" s="72"/>
      <c r="T250" s="73"/>
      <c r="U250" s="73"/>
      <c r="V250" s="73"/>
      <c r="W250" s="73"/>
    </row>
    <row r="251" spans="1:24" s="29" customFormat="1" ht="15.75" customHeight="1" thickTop="1" x14ac:dyDescent="0.25">
      <c r="A251"/>
      <c r="B251" s="74"/>
      <c r="C251" s="74"/>
      <c r="D251" s="74"/>
      <c r="E251" s="74"/>
      <c r="F251" s="74"/>
      <c r="G251" s="75"/>
      <c r="H251" s="75"/>
      <c r="I251" s="74"/>
      <c r="J251" s="74"/>
      <c r="K251" s="74"/>
      <c r="L251" s="74" t="s">
        <v>508</v>
      </c>
      <c r="M251" s="74" t="s">
        <v>508</v>
      </c>
      <c r="N251" s="74" t="s">
        <v>508</v>
      </c>
      <c r="O251" s="56"/>
      <c r="P251" s="56"/>
      <c r="Q251" s="56"/>
      <c r="R251" s="56"/>
      <c r="S251" s="56"/>
      <c r="T251" s="76"/>
      <c r="U251" s="66"/>
      <c r="V251" s="66"/>
      <c r="W251" s="66"/>
      <c r="X251" s="44"/>
    </row>
    <row r="252" spans="1:24" s="29" customFormat="1" ht="15.75" customHeight="1" x14ac:dyDescent="0.25">
      <c r="A252"/>
      <c r="B252" s="56" t="s">
        <v>334</v>
      </c>
      <c r="C252" s="56" t="s">
        <v>571</v>
      </c>
      <c r="D252" s="56" t="s">
        <v>361</v>
      </c>
      <c r="E252" s="56" t="s">
        <v>362</v>
      </c>
      <c r="F252" s="56"/>
      <c r="G252" s="68">
        <v>5930.62</v>
      </c>
      <c r="H252" s="68"/>
      <c r="I252" s="69">
        <f>100*L252/(5818.133*1000)</f>
        <v>0.20625173058092691</v>
      </c>
      <c r="J252" s="69"/>
      <c r="K252" s="69">
        <f>100*N252/(5818.133*1000)</f>
        <v>0.29218995165631312</v>
      </c>
      <c r="L252" s="70">
        <v>12000</v>
      </c>
      <c r="M252" s="70" t="s">
        <v>508</v>
      </c>
      <c r="N252" s="70">
        <v>17000</v>
      </c>
      <c r="O252" s="56">
        <v>2015</v>
      </c>
      <c r="P252" s="56" t="s">
        <v>731</v>
      </c>
      <c r="Q252" s="56"/>
      <c r="R252" s="56" t="s">
        <v>693</v>
      </c>
      <c r="S252" s="56" t="s">
        <v>697</v>
      </c>
      <c r="T252" s="66" t="s">
        <v>1198</v>
      </c>
      <c r="U252" s="66" t="s">
        <v>770</v>
      </c>
      <c r="V252" s="66" t="s">
        <v>1197</v>
      </c>
      <c r="W252" s="66"/>
    </row>
    <row r="253" spans="1:24" s="29" customFormat="1" ht="15.75" customHeight="1" x14ac:dyDescent="0.25">
      <c r="A253"/>
      <c r="B253" s="56" t="s">
        <v>334</v>
      </c>
      <c r="C253" s="56" t="s">
        <v>571</v>
      </c>
      <c r="D253" s="56" t="s">
        <v>363</v>
      </c>
      <c r="E253" s="56" t="s">
        <v>364</v>
      </c>
      <c r="F253" s="56"/>
      <c r="G253" s="68">
        <v>7366.51</v>
      </c>
      <c r="H253" s="68"/>
      <c r="I253" s="69">
        <v>0.23200000000000001</v>
      </c>
      <c r="J253" s="69">
        <v>0.32800000000000001</v>
      </c>
      <c r="K253" s="69">
        <v>0.46100000000000002</v>
      </c>
      <c r="L253" s="70">
        <v>16841</v>
      </c>
      <c r="M253" s="70">
        <v>23828</v>
      </c>
      <c r="N253" s="70">
        <v>33517</v>
      </c>
      <c r="O253" s="56">
        <v>2015</v>
      </c>
      <c r="P253" s="56" t="s">
        <v>702</v>
      </c>
      <c r="Q253" s="56"/>
      <c r="R253" s="56"/>
      <c r="S253" s="56"/>
      <c r="T253" s="66" t="s">
        <v>484</v>
      </c>
      <c r="U253" s="66" t="s">
        <v>952</v>
      </c>
      <c r="V253" s="66" t="s">
        <v>953</v>
      </c>
      <c r="W253" s="66"/>
    </row>
    <row r="254" spans="1:24" s="29" customFormat="1" ht="15.75" customHeight="1" x14ac:dyDescent="0.25">
      <c r="A254"/>
      <c r="B254" s="56" t="s">
        <v>334</v>
      </c>
      <c r="C254" s="56" t="s">
        <v>571</v>
      </c>
      <c r="D254" s="56" t="s">
        <v>365</v>
      </c>
      <c r="E254" s="56" t="s">
        <v>366</v>
      </c>
      <c r="F254" s="56"/>
      <c r="G254" s="68">
        <v>826.45</v>
      </c>
      <c r="H254" s="68"/>
      <c r="I254" s="69"/>
      <c r="J254" s="69">
        <f>100*M254/(826.457*1000)</f>
        <v>0.10115468802369633</v>
      </c>
      <c r="K254" s="69"/>
      <c r="L254" s="70"/>
      <c r="M254" s="70">
        <v>836</v>
      </c>
      <c r="N254" s="70"/>
      <c r="O254" s="56">
        <v>2017</v>
      </c>
      <c r="P254" s="56"/>
      <c r="Q254" s="56"/>
      <c r="R254" s="56"/>
      <c r="S254" s="56" t="s">
        <v>999</v>
      </c>
      <c r="T254" s="66" t="s">
        <v>480</v>
      </c>
      <c r="U254" s="66" t="s">
        <v>770</v>
      </c>
      <c r="V254" s="66" t="s">
        <v>1186</v>
      </c>
      <c r="W254" s="66"/>
    </row>
    <row r="255" spans="1:24" s="29" customFormat="1" ht="15.75" customHeight="1" x14ac:dyDescent="0.25">
      <c r="A255"/>
      <c r="B255" s="56" t="s">
        <v>334</v>
      </c>
      <c r="C255" s="56" t="s">
        <v>571</v>
      </c>
      <c r="D255" s="56" t="s">
        <v>367</v>
      </c>
      <c r="E255" s="56" t="s">
        <v>943</v>
      </c>
      <c r="F255" s="56"/>
      <c r="G255" s="68">
        <v>6931.87</v>
      </c>
      <c r="H255" s="68"/>
      <c r="I255" s="69">
        <v>0.61799999999999999</v>
      </c>
      <c r="J255" s="69">
        <v>0.63200000000000001</v>
      </c>
      <c r="K255" s="69">
        <v>0.64700000000000002</v>
      </c>
      <c r="L255" s="70">
        <v>42800</v>
      </c>
      <c r="M255" s="70">
        <v>43700</v>
      </c>
      <c r="N255" s="87">
        <v>44700</v>
      </c>
      <c r="O255" s="56">
        <v>2017</v>
      </c>
      <c r="P255" s="56" t="s">
        <v>946</v>
      </c>
      <c r="Q255" s="56"/>
      <c r="R255" s="56"/>
      <c r="S255" s="56"/>
      <c r="T255" s="66" t="s">
        <v>484</v>
      </c>
      <c r="U255" s="66" t="s">
        <v>1187</v>
      </c>
      <c r="V255" s="66" t="s">
        <v>1458</v>
      </c>
      <c r="W255" s="66"/>
    </row>
    <row r="256" spans="1:24" s="29" customFormat="1" ht="15.75" customHeight="1" x14ac:dyDescent="0.25">
      <c r="A256"/>
      <c r="B256" s="56" t="s">
        <v>334</v>
      </c>
      <c r="C256" s="56" t="s">
        <v>571</v>
      </c>
      <c r="D256" s="56" t="s">
        <v>368</v>
      </c>
      <c r="E256" s="56" t="s">
        <v>369</v>
      </c>
      <c r="F256" s="56"/>
      <c r="G256" s="68">
        <v>3665.76</v>
      </c>
      <c r="H256" s="68"/>
      <c r="I256" s="56">
        <v>0.28000000000000003</v>
      </c>
      <c r="J256" s="56">
        <v>0.36</v>
      </c>
      <c r="K256" s="56">
        <v>0.46</v>
      </c>
      <c r="L256" s="70">
        <v>10066</v>
      </c>
      <c r="M256" s="70">
        <v>13000</v>
      </c>
      <c r="N256" s="70">
        <v>16821</v>
      </c>
      <c r="O256" s="56">
        <v>2009</v>
      </c>
      <c r="P256" s="56" t="s">
        <v>957</v>
      </c>
      <c r="Q256" s="56"/>
      <c r="R256" s="56"/>
      <c r="S256" s="56" t="s">
        <v>697</v>
      </c>
      <c r="T256" s="66" t="s">
        <v>568</v>
      </c>
      <c r="U256" s="66" t="s">
        <v>765</v>
      </c>
      <c r="V256" s="66" t="s">
        <v>592</v>
      </c>
      <c r="W256" s="66" t="s">
        <v>907</v>
      </c>
    </row>
    <row r="257" spans="1:23" s="29" customFormat="1" ht="15.75" customHeight="1" x14ac:dyDescent="0.25">
      <c r="A257"/>
      <c r="B257" s="56" t="s">
        <v>334</v>
      </c>
      <c r="C257" s="56" t="s">
        <v>571</v>
      </c>
      <c r="D257" s="56" t="s">
        <v>370</v>
      </c>
      <c r="E257" s="56" t="s">
        <v>371</v>
      </c>
      <c r="F257" s="56"/>
      <c r="G257" s="68">
        <v>846.89</v>
      </c>
      <c r="H257" s="68"/>
      <c r="I257" s="69">
        <f>100*L257/(846.888*1000)</f>
        <v>0.98265650239464963</v>
      </c>
      <c r="J257" s="69">
        <f>100*M257/(846.888*1000)</f>
        <v>1.0921160767421429</v>
      </c>
      <c r="K257" s="69">
        <f>100*N257/(846.888*1000)</f>
        <v>1.2241288104212127</v>
      </c>
      <c r="L257" s="70">
        <v>8322</v>
      </c>
      <c r="M257" s="70">
        <v>9249</v>
      </c>
      <c r="N257" s="70">
        <v>10367</v>
      </c>
      <c r="O257" s="56">
        <v>2015</v>
      </c>
      <c r="P257" s="56"/>
      <c r="Q257" s="56" t="s">
        <v>1445</v>
      </c>
      <c r="R257" s="56" t="s">
        <v>693</v>
      </c>
      <c r="S257" s="56" t="s">
        <v>697</v>
      </c>
      <c r="T257" s="66" t="s">
        <v>1446</v>
      </c>
      <c r="U257" s="66" t="s">
        <v>1367</v>
      </c>
      <c r="V257" s="66" t="s">
        <v>1581</v>
      </c>
      <c r="W257" s="66" t="s">
        <v>1447</v>
      </c>
    </row>
    <row r="258" spans="1:23" s="29" customFormat="1" ht="15.75" customHeight="1" x14ac:dyDescent="0.25">
      <c r="A258"/>
      <c r="B258" s="56" t="s">
        <v>334</v>
      </c>
      <c r="C258" s="56" t="s">
        <v>571</v>
      </c>
      <c r="D258" s="56" t="s">
        <v>373</v>
      </c>
      <c r="E258" s="56" t="s">
        <v>374</v>
      </c>
      <c r="F258" s="56"/>
      <c r="G258" s="68">
        <v>3431.4</v>
      </c>
      <c r="H258" s="68"/>
      <c r="I258" s="56">
        <v>0.41</v>
      </c>
      <c r="J258" s="56">
        <v>0.46</v>
      </c>
      <c r="K258" s="56">
        <v>0.67</v>
      </c>
      <c r="L258" s="70">
        <v>13770</v>
      </c>
      <c r="M258" s="70">
        <v>15611</v>
      </c>
      <c r="N258" s="70">
        <v>22665</v>
      </c>
      <c r="O258" s="56">
        <v>2012</v>
      </c>
      <c r="P258" s="56" t="s">
        <v>732</v>
      </c>
      <c r="Q258" s="56" t="s">
        <v>709</v>
      </c>
      <c r="R258" s="56" t="s">
        <v>693</v>
      </c>
      <c r="S258" s="56" t="s">
        <v>697</v>
      </c>
      <c r="T258" s="66" t="s">
        <v>559</v>
      </c>
      <c r="U258" s="66" t="s">
        <v>765</v>
      </c>
      <c r="V258" s="66" t="s">
        <v>1209</v>
      </c>
      <c r="W258" s="66" t="s">
        <v>785</v>
      </c>
    </row>
    <row r="259" spans="1:23" s="29" customFormat="1" ht="15.75" customHeight="1" x14ac:dyDescent="0.25">
      <c r="A259"/>
      <c r="B259" s="56" t="s">
        <v>334</v>
      </c>
      <c r="C259" s="56" t="s">
        <v>571</v>
      </c>
      <c r="D259" s="56" t="s">
        <v>375</v>
      </c>
      <c r="E259" s="56" t="s">
        <v>376</v>
      </c>
      <c r="F259" s="56"/>
      <c r="G259" s="68">
        <v>40299.74</v>
      </c>
      <c r="H259" s="68"/>
      <c r="I259" s="69">
        <v>0.25800000000000001</v>
      </c>
      <c r="J259" s="69">
        <v>0.28899999999999998</v>
      </c>
      <c r="K259" s="69">
        <v>0.32900000000000001</v>
      </c>
      <c r="L259" s="70">
        <v>105000</v>
      </c>
      <c r="M259" s="70">
        <v>117000</v>
      </c>
      <c r="N259" s="70">
        <v>130000</v>
      </c>
      <c r="O259" s="56">
        <v>2017</v>
      </c>
      <c r="P259" s="56" t="s">
        <v>691</v>
      </c>
      <c r="Q259" s="56"/>
      <c r="R259" s="56"/>
      <c r="S259" s="56" t="s">
        <v>697</v>
      </c>
      <c r="T259" s="66" t="s">
        <v>1113</v>
      </c>
      <c r="U259" s="66" t="s">
        <v>1238</v>
      </c>
      <c r="V259" s="66" t="s">
        <v>1582</v>
      </c>
      <c r="W259" s="66"/>
    </row>
    <row r="260" spans="1:23" s="29" customFormat="1" ht="15.75" customHeight="1" x14ac:dyDescent="0.25">
      <c r="A260"/>
      <c r="B260" s="56" t="s">
        <v>334</v>
      </c>
      <c r="C260" s="56" t="s">
        <v>571</v>
      </c>
      <c r="D260" s="56" t="s">
        <v>381</v>
      </c>
      <c r="E260" s="56" t="s">
        <v>382</v>
      </c>
      <c r="F260" s="56"/>
      <c r="G260" s="68">
        <v>6762.99</v>
      </c>
      <c r="H260" s="68"/>
      <c r="I260" s="69">
        <v>4.9000000000000002E-2</v>
      </c>
      <c r="J260" s="69">
        <v>0.06</v>
      </c>
      <c r="K260" s="69">
        <v>7.5999999999999998E-2</v>
      </c>
      <c r="L260" s="70">
        <v>3376</v>
      </c>
      <c r="M260" s="70">
        <v>4173</v>
      </c>
      <c r="N260" s="70">
        <v>5303</v>
      </c>
      <c r="O260" s="56">
        <v>2016</v>
      </c>
      <c r="P260" s="56" t="s">
        <v>713</v>
      </c>
      <c r="Q260" s="56" t="s">
        <v>709</v>
      </c>
      <c r="R260" s="56"/>
      <c r="S260" s="56" t="s">
        <v>697</v>
      </c>
      <c r="T260" s="66" t="s">
        <v>600</v>
      </c>
      <c r="U260" s="66" t="s">
        <v>954</v>
      </c>
      <c r="V260" s="66" t="s">
        <v>1200</v>
      </c>
      <c r="W260" s="66"/>
    </row>
    <row r="261" spans="1:23" s="29" customFormat="1" ht="15.75" customHeight="1" x14ac:dyDescent="0.25">
      <c r="A261"/>
      <c r="B261" s="56" t="s">
        <v>334</v>
      </c>
      <c r="C261" s="56" t="s">
        <v>571</v>
      </c>
      <c r="D261" s="56" t="s">
        <v>385</v>
      </c>
      <c r="E261" s="56" t="s">
        <v>386</v>
      </c>
      <c r="F261" s="56"/>
      <c r="G261" s="68">
        <v>6448.72</v>
      </c>
      <c r="H261" s="68"/>
      <c r="I261" s="69"/>
      <c r="J261" s="69">
        <v>9.8000000000000004E-2</v>
      </c>
      <c r="K261" s="69"/>
      <c r="L261" s="70" t="s">
        <v>508</v>
      </c>
      <c r="M261" s="70">
        <v>6707</v>
      </c>
      <c r="N261" s="70" t="s">
        <v>508</v>
      </c>
      <c r="O261" s="56">
        <v>2015</v>
      </c>
      <c r="P261" s="56"/>
      <c r="Q261" s="56"/>
      <c r="R261" s="56"/>
      <c r="S261" s="56" t="s">
        <v>697</v>
      </c>
      <c r="T261" s="66" t="s">
        <v>630</v>
      </c>
      <c r="U261" s="66" t="s">
        <v>955</v>
      </c>
      <c r="V261" s="66" t="s">
        <v>565</v>
      </c>
      <c r="W261" s="66"/>
    </row>
    <row r="262" spans="1:23" s="29" customFormat="1" ht="15.75" customHeight="1" x14ac:dyDescent="0.25">
      <c r="A262"/>
      <c r="B262" s="56" t="s">
        <v>334</v>
      </c>
      <c r="C262" s="56" t="s">
        <v>571</v>
      </c>
      <c r="D262" s="56" t="s">
        <v>387</v>
      </c>
      <c r="E262" s="56" t="s">
        <v>388</v>
      </c>
      <c r="F262" s="56"/>
      <c r="G262" s="68">
        <v>220.12</v>
      </c>
      <c r="H262" s="68"/>
      <c r="I262" s="56"/>
      <c r="J262" s="69">
        <f>100*M262/(219.366*1000)</f>
        <v>0.22792957887731008</v>
      </c>
      <c r="K262" s="56"/>
      <c r="L262" s="70" t="s">
        <v>508</v>
      </c>
      <c r="M262" s="70">
        <v>500</v>
      </c>
      <c r="N262" s="70" t="s">
        <v>508</v>
      </c>
      <c r="O262" s="56">
        <v>2017</v>
      </c>
      <c r="P262" s="56"/>
      <c r="Q262" s="56" t="s">
        <v>692</v>
      </c>
      <c r="R262" s="56"/>
      <c r="S262" s="56" t="s">
        <v>697</v>
      </c>
      <c r="T262" s="66" t="s">
        <v>480</v>
      </c>
      <c r="U262" s="66" t="s">
        <v>748</v>
      </c>
      <c r="V262" s="66" t="s">
        <v>1123</v>
      </c>
      <c r="W262" s="66" t="s">
        <v>1201</v>
      </c>
    </row>
    <row r="263" spans="1:23" s="29" customFormat="1" ht="15.75" customHeight="1" x14ac:dyDescent="0.25">
      <c r="A263"/>
      <c r="B263" s="56" t="s">
        <v>334</v>
      </c>
      <c r="C263" s="56" t="s">
        <v>571</v>
      </c>
      <c r="D263" s="56" t="s">
        <v>389</v>
      </c>
      <c r="E263" s="56" t="s">
        <v>390</v>
      </c>
      <c r="F263" s="56"/>
      <c r="G263" s="68">
        <v>3119.03</v>
      </c>
      <c r="H263" s="68"/>
      <c r="I263" s="69"/>
      <c r="J263" s="69">
        <f>100*M263/(3119.031*1000)</f>
        <v>2.5039828074809131E-2</v>
      </c>
      <c r="K263" s="69"/>
      <c r="L263" s="70" t="s">
        <v>508</v>
      </c>
      <c r="M263" s="70">
        <v>781</v>
      </c>
      <c r="N263" s="70" t="s">
        <v>508</v>
      </c>
      <c r="O263" s="56">
        <v>2017</v>
      </c>
      <c r="P263" s="56"/>
      <c r="Q263" s="56"/>
      <c r="R263" s="56"/>
      <c r="S263" s="56" t="s">
        <v>697</v>
      </c>
      <c r="T263" s="66" t="s">
        <v>480</v>
      </c>
      <c r="U263" s="66" t="s">
        <v>768</v>
      </c>
      <c r="V263" s="66" t="s">
        <v>1145</v>
      </c>
      <c r="W263" s="66" t="s">
        <v>958</v>
      </c>
    </row>
    <row r="264" spans="1:23" s="29" customFormat="1" ht="15.75" customHeight="1" x14ac:dyDescent="0.25">
      <c r="A264"/>
      <c r="B264" s="56" t="s">
        <v>334</v>
      </c>
      <c r="C264" s="56" t="s">
        <v>571</v>
      </c>
      <c r="D264" s="56" t="s">
        <v>393</v>
      </c>
      <c r="E264" s="56" t="s">
        <v>394</v>
      </c>
      <c r="F264" s="56"/>
      <c r="G264" s="68">
        <v>38752.39</v>
      </c>
      <c r="H264" s="68"/>
      <c r="I264" s="56"/>
      <c r="J264" s="56">
        <v>0.38</v>
      </c>
      <c r="K264" s="56"/>
      <c r="L264" s="70" t="s">
        <v>508</v>
      </c>
      <c r="M264" s="70" t="s">
        <v>508</v>
      </c>
      <c r="N264" s="70" t="s">
        <v>508</v>
      </c>
      <c r="O264" s="56">
        <v>2011</v>
      </c>
      <c r="P264" s="56"/>
      <c r="Q264" s="56"/>
      <c r="R264" s="56"/>
      <c r="S264" s="56"/>
      <c r="T264" s="66" t="s">
        <v>483</v>
      </c>
      <c r="U264" s="66" t="s">
        <v>769</v>
      </c>
      <c r="V264" s="66" t="s">
        <v>510</v>
      </c>
      <c r="W264" s="66" t="s">
        <v>786</v>
      </c>
    </row>
    <row r="265" spans="1:23" s="29" customFormat="1" ht="15.75" customHeight="1" x14ac:dyDescent="0.25">
      <c r="A265"/>
      <c r="B265" s="56" t="s">
        <v>334</v>
      </c>
      <c r="C265" s="56" t="s">
        <v>571</v>
      </c>
      <c r="D265" s="56" t="s">
        <v>395</v>
      </c>
      <c r="E265" s="56" t="s">
        <v>396</v>
      </c>
      <c r="F265" s="56"/>
      <c r="G265" s="68">
        <v>1233.45</v>
      </c>
      <c r="H265" s="68"/>
      <c r="I265" s="56">
        <v>0.53</v>
      </c>
      <c r="J265" s="56">
        <v>0.61</v>
      </c>
      <c r="K265" s="56">
        <v>0.68</v>
      </c>
      <c r="L265" s="70">
        <v>6751</v>
      </c>
      <c r="M265" s="70">
        <v>7715</v>
      </c>
      <c r="N265" s="70">
        <v>8678</v>
      </c>
      <c r="O265" s="56">
        <v>2016</v>
      </c>
      <c r="P265" s="56" t="s">
        <v>691</v>
      </c>
      <c r="Q265" s="56"/>
      <c r="R265" s="56"/>
      <c r="S265" s="56" t="s">
        <v>697</v>
      </c>
      <c r="T265" s="66" t="s">
        <v>480</v>
      </c>
      <c r="U265" s="66" t="s">
        <v>1208</v>
      </c>
      <c r="V265" s="66" t="s">
        <v>1207</v>
      </c>
      <c r="W265" s="66"/>
    </row>
    <row r="266" spans="1:23" s="29" customFormat="1" ht="15.75" customHeight="1" x14ac:dyDescent="0.25">
      <c r="A266"/>
      <c r="B266" s="56" t="s">
        <v>334</v>
      </c>
      <c r="C266" s="56" t="s">
        <v>571</v>
      </c>
      <c r="D266" s="56" t="s">
        <v>399</v>
      </c>
      <c r="E266" s="56" t="s">
        <v>400</v>
      </c>
      <c r="F266" s="56"/>
      <c r="G266" s="68">
        <v>1832.44</v>
      </c>
      <c r="H266" s="68"/>
      <c r="I266" s="69">
        <f>100*L266/(1932.955*1000)</f>
        <v>0.43306750545149786</v>
      </c>
      <c r="J266" s="69"/>
      <c r="K266" s="69">
        <f>100*N266/(1932.955*1000)</f>
        <v>0.54186465799772887</v>
      </c>
      <c r="L266" s="70">
        <v>8371</v>
      </c>
      <c r="M266" s="70"/>
      <c r="N266" s="70">
        <v>10474</v>
      </c>
      <c r="O266" s="78" t="s">
        <v>638</v>
      </c>
      <c r="P266" s="56"/>
      <c r="Q266" s="56"/>
      <c r="R266" s="56"/>
      <c r="S266" s="56" t="s">
        <v>697</v>
      </c>
      <c r="T266" s="66" t="s">
        <v>633</v>
      </c>
      <c r="U266" s="66" t="s">
        <v>1291</v>
      </c>
      <c r="V266" s="66" t="s">
        <v>1292</v>
      </c>
      <c r="W266" s="66"/>
    </row>
    <row r="267" spans="1:23" s="29" customFormat="1" ht="15.75" customHeight="1" x14ac:dyDescent="0.25">
      <c r="A267"/>
      <c r="B267" s="56" t="s">
        <v>334</v>
      </c>
      <c r="C267" s="56" t="s">
        <v>571</v>
      </c>
      <c r="D267" s="56" t="s">
        <v>401</v>
      </c>
      <c r="E267" s="56" t="s">
        <v>402</v>
      </c>
      <c r="F267" s="56"/>
      <c r="G267" s="68">
        <v>422.6</v>
      </c>
      <c r="H267" s="68"/>
      <c r="I267" s="69"/>
      <c r="J267" s="69">
        <v>0.377</v>
      </c>
      <c r="K267" s="69"/>
      <c r="L267" s="70"/>
      <c r="M267" s="70">
        <v>1467</v>
      </c>
      <c r="N267" s="70"/>
      <c r="O267" s="56">
        <v>2015</v>
      </c>
      <c r="P267" s="56"/>
      <c r="Q267" s="56"/>
      <c r="R267" s="56"/>
      <c r="S267" s="56" t="s">
        <v>697</v>
      </c>
      <c r="T267" s="66" t="s">
        <v>600</v>
      </c>
      <c r="U267" s="66" t="s">
        <v>1189</v>
      </c>
      <c r="V267" s="66" t="s">
        <v>1188</v>
      </c>
      <c r="W267" s="66"/>
    </row>
    <row r="268" spans="1:23" s="29" customFormat="1" ht="15.75" customHeight="1" x14ac:dyDescent="0.25">
      <c r="A268"/>
      <c r="B268" s="56" t="s">
        <v>334</v>
      </c>
      <c r="C268" s="56" t="s">
        <v>571</v>
      </c>
      <c r="D268" s="56" t="s">
        <v>403</v>
      </c>
      <c r="E268" s="56" t="s">
        <v>404</v>
      </c>
      <c r="F268" s="56"/>
      <c r="G268" s="68">
        <v>287.16000000000003</v>
      </c>
      <c r="H268" s="68"/>
      <c r="I268" s="69"/>
      <c r="J268" s="69">
        <f>100*M268/(287.153*1000)</f>
        <v>0.30506385097839828</v>
      </c>
      <c r="K268" s="69"/>
      <c r="L268" s="70" t="s">
        <v>508</v>
      </c>
      <c r="M268" s="70">
        <v>876</v>
      </c>
      <c r="N268" s="70" t="s">
        <v>508</v>
      </c>
      <c r="O268" s="56">
        <v>2017</v>
      </c>
      <c r="P268" s="56"/>
      <c r="Q268" s="56"/>
      <c r="R268" s="56"/>
      <c r="S268" s="56" t="s">
        <v>697</v>
      </c>
      <c r="T268" s="66" t="s">
        <v>480</v>
      </c>
      <c r="U268" s="66" t="s">
        <v>744</v>
      </c>
      <c r="V268" s="66" t="s">
        <v>480</v>
      </c>
      <c r="W268" s="66" t="s">
        <v>1419</v>
      </c>
    </row>
    <row r="269" spans="1:23" s="29" customFormat="1" ht="15.75" customHeight="1" x14ac:dyDescent="0.25">
      <c r="A269"/>
      <c r="B269" s="56" t="s">
        <v>334</v>
      </c>
      <c r="C269" s="56" t="s">
        <v>571</v>
      </c>
      <c r="D269" s="56" t="s">
        <v>407</v>
      </c>
      <c r="E269" s="56" t="s">
        <v>408</v>
      </c>
      <c r="F269" s="56"/>
      <c r="G269" s="68">
        <v>11036.76</v>
      </c>
      <c r="H269" s="68"/>
      <c r="I269" s="69"/>
      <c r="J269" s="69">
        <f>100*M269/(11115.658*1000)</f>
        <v>1.0075876749716481E-2</v>
      </c>
      <c r="K269" s="69"/>
      <c r="L269" s="70"/>
      <c r="M269" s="70">
        <v>1120</v>
      </c>
      <c r="N269" s="70"/>
      <c r="O269" s="56">
        <v>2013</v>
      </c>
      <c r="P269" s="56"/>
      <c r="Q269" s="56"/>
      <c r="R269" s="56"/>
      <c r="S269" s="56" t="s">
        <v>697</v>
      </c>
      <c r="T269" s="66" t="s">
        <v>480</v>
      </c>
      <c r="U269" s="66" t="s">
        <v>770</v>
      </c>
      <c r="V269" s="66" t="s">
        <v>1421</v>
      </c>
      <c r="W269" s="66"/>
    </row>
    <row r="270" spans="1:23" s="29" customFormat="1" ht="15.75" customHeight="1" x14ac:dyDescent="0.25">
      <c r="A270"/>
      <c r="B270" s="56" t="s">
        <v>334</v>
      </c>
      <c r="C270" s="56" t="s">
        <v>571</v>
      </c>
      <c r="D270" s="56" t="s">
        <v>409</v>
      </c>
      <c r="E270" s="56" t="s">
        <v>410</v>
      </c>
      <c r="F270" s="56"/>
      <c r="G270" s="68">
        <v>3491.13</v>
      </c>
      <c r="H270" s="68"/>
      <c r="I270" s="69"/>
      <c r="J270" s="69">
        <f>100*M270/(3446.066*1000)</f>
        <v>0.25193945792100325</v>
      </c>
      <c r="K270" s="69"/>
      <c r="L270" s="70"/>
      <c r="M270" s="70">
        <v>8682</v>
      </c>
      <c r="N270" s="70"/>
      <c r="O270" s="56">
        <v>2016</v>
      </c>
      <c r="P270" s="56"/>
      <c r="Q270" s="56" t="s">
        <v>492</v>
      </c>
      <c r="R270" s="56"/>
      <c r="S270" s="56" t="s">
        <v>697</v>
      </c>
      <c r="T270" s="66" t="s">
        <v>1334</v>
      </c>
      <c r="U270" s="66" t="s">
        <v>766</v>
      </c>
      <c r="V270" s="66" t="s">
        <v>1332</v>
      </c>
      <c r="W270" s="66" t="s">
        <v>1333</v>
      </c>
    </row>
    <row r="271" spans="1:23" s="29" customFormat="1" ht="15.75" customHeight="1" x14ac:dyDescent="0.25">
      <c r="A271"/>
      <c r="B271" s="56" t="s">
        <v>334</v>
      </c>
      <c r="C271" s="56" t="s">
        <v>571</v>
      </c>
      <c r="D271" s="56" t="s">
        <v>411</v>
      </c>
      <c r="E271" s="56" t="s">
        <v>412</v>
      </c>
      <c r="F271" s="56"/>
      <c r="G271" s="68">
        <v>25570.639999999999</v>
      </c>
      <c r="H271" s="68"/>
      <c r="I271" s="69">
        <f>100*L271/(27119.36*1000)</f>
        <v>1.5745209326473782E-2</v>
      </c>
      <c r="J271" s="69">
        <f>100*M271/(27119.36*1000)</f>
        <v>2.6859040921319677E-2</v>
      </c>
      <c r="K271" s="69">
        <f>100*N271/(27119.36*1000)</f>
        <v>3.7976559918818147E-2</v>
      </c>
      <c r="L271" s="70">
        <v>4270</v>
      </c>
      <c r="M271" s="70">
        <v>7284</v>
      </c>
      <c r="N271" s="70">
        <v>10299</v>
      </c>
      <c r="O271" s="56">
        <v>2012</v>
      </c>
      <c r="P271" s="56"/>
      <c r="Q271" s="56"/>
      <c r="R271" s="56"/>
      <c r="S271" s="56" t="s">
        <v>697</v>
      </c>
      <c r="T271" s="66" t="s">
        <v>480</v>
      </c>
      <c r="U271" s="66" t="s">
        <v>747</v>
      </c>
      <c r="V271" s="66" t="s">
        <v>570</v>
      </c>
      <c r="W271" s="66" t="s">
        <v>787</v>
      </c>
    </row>
    <row r="272" spans="1:23" s="29" customFormat="1" ht="15.75" customHeight="1" x14ac:dyDescent="0.25">
      <c r="A272"/>
      <c r="B272" s="56" t="s">
        <v>334</v>
      </c>
      <c r="C272" s="56" t="s">
        <v>571</v>
      </c>
      <c r="D272" s="56" t="s">
        <v>413</v>
      </c>
      <c r="E272" s="56" t="s">
        <v>414</v>
      </c>
      <c r="F272" s="56"/>
      <c r="G272" s="68">
        <v>6624.17</v>
      </c>
      <c r="H272" s="68"/>
      <c r="I272" s="56">
        <v>0.1</v>
      </c>
      <c r="J272" s="69">
        <v>0.20599999999999999</v>
      </c>
      <c r="K272" s="56">
        <v>0.44600000000000001</v>
      </c>
      <c r="L272" s="70">
        <v>6416</v>
      </c>
      <c r="M272" s="70">
        <v>13162</v>
      </c>
      <c r="N272" s="70">
        <v>28497</v>
      </c>
      <c r="O272" s="56">
        <v>2015</v>
      </c>
      <c r="P272" s="56" t="s">
        <v>691</v>
      </c>
      <c r="Q272" s="56"/>
      <c r="R272" s="56"/>
      <c r="S272" s="56"/>
      <c r="T272" s="66" t="s">
        <v>484</v>
      </c>
      <c r="U272" s="66" t="s">
        <v>1191</v>
      </c>
      <c r="V272" s="66" t="s">
        <v>1190</v>
      </c>
      <c r="W272" s="66"/>
    </row>
    <row r="273" spans="1:23" s="29" customFormat="1" ht="15.75" customHeight="1" x14ac:dyDescent="0.25">
      <c r="A273"/>
      <c r="B273" s="56" t="s">
        <v>334</v>
      </c>
      <c r="C273" s="56" t="s">
        <v>571</v>
      </c>
      <c r="D273" s="56" t="s">
        <v>417</v>
      </c>
      <c r="E273" s="56" t="s">
        <v>418</v>
      </c>
      <c r="F273" s="56"/>
      <c r="G273" s="68">
        <v>3758.49</v>
      </c>
      <c r="H273" s="68"/>
      <c r="I273" s="56">
        <v>0.35</v>
      </c>
      <c r="J273" s="56">
        <v>0.49</v>
      </c>
      <c r="K273" s="56">
        <v>0.89</v>
      </c>
      <c r="L273" s="70">
        <v>13732</v>
      </c>
      <c r="M273" s="70">
        <v>18841</v>
      </c>
      <c r="N273" s="70">
        <v>34343</v>
      </c>
      <c r="O273" s="56">
        <v>2006</v>
      </c>
      <c r="P273" s="56"/>
      <c r="Q273" s="56"/>
      <c r="R273" s="56" t="s">
        <v>693</v>
      </c>
      <c r="S273" s="56" t="s">
        <v>908</v>
      </c>
      <c r="T273" s="66" t="s">
        <v>484</v>
      </c>
      <c r="U273" s="66" t="s">
        <v>771</v>
      </c>
      <c r="V273" s="66" t="s">
        <v>631</v>
      </c>
      <c r="W273" s="66" t="s">
        <v>788</v>
      </c>
    </row>
    <row r="274" spans="1:23" s="29" customFormat="1" ht="15.75" customHeight="1" x14ac:dyDescent="0.25">
      <c r="A274"/>
      <c r="B274" s="56" t="s">
        <v>334</v>
      </c>
      <c r="C274" s="56" t="s">
        <v>571</v>
      </c>
      <c r="D274" s="56" t="s">
        <v>419</v>
      </c>
      <c r="E274" s="56" t="s">
        <v>420</v>
      </c>
      <c r="F274" s="56"/>
      <c r="G274" s="68">
        <v>1358.31</v>
      </c>
      <c r="H274" s="68"/>
      <c r="I274" s="56"/>
      <c r="J274" s="56">
        <v>0.52</v>
      </c>
      <c r="K274" s="56"/>
      <c r="L274" s="70" t="s">
        <v>508</v>
      </c>
      <c r="M274" s="70">
        <v>7310</v>
      </c>
      <c r="N274" s="70" t="s">
        <v>508</v>
      </c>
      <c r="O274" s="56">
        <v>2001</v>
      </c>
      <c r="P274" s="56"/>
      <c r="Q274" s="56"/>
      <c r="R274" s="56"/>
      <c r="S274" s="56"/>
      <c r="T274" s="66" t="s">
        <v>15</v>
      </c>
      <c r="U274" s="66" t="s">
        <v>748</v>
      </c>
      <c r="V274" s="66" t="s">
        <v>18</v>
      </c>
      <c r="W274" s="66"/>
    </row>
    <row r="275" spans="1:23" s="29" customFormat="1" ht="15.75" customHeight="1" x14ac:dyDescent="0.25">
      <c r="A275"/>
      <c r="B275" s="56" t="s">
        <v>334</v>
      </c>
      <c r="C275" s="56" t="s">
        <v>571</v>
      </c>
      <c r="D275" s="56" t="s">
        <v>415</v>
      </c>
      <c r="E275" s="56" t="s">
        <v>416</v>
      </c>
      <c r="F275" s="56"/>
      <c r="G275" s="68">
        <v>30795.599999999999</v>
      </c>
      <c r="H275" s="68"/>
      <c r="I275" s="79">
        <v>2.5999999999999999E-2</v>
      </c>
      <c r="J275" s="79">
        <v>4.2000000000000003E-2</v>
      </c>
      <c r="K275" s="79">
        <v>5.8999999999999997E-2</v>
      </c>
      <c r="L275" s="70">
        <v>8091</v>
      </c>
      <c r="M275" s="70">
        <v>13136</v>
      </c>
      <c r="N275" s="70">
        <v>18182</v>
      </c>
      <c r="O275" s="56">
        <v>2017</v>
      </c>
      <c r="P275" s="56" t="s">
        <v>691</v>
      </c>
      <c r="Q275" s="56" t="s">
        <v>1337</v>
      </c>
      <c r="R275" s="56" t="s">
        <v>693</v>
      </c>
      <c r="S275" s="56"/>
      <c r="T275" s="66" t="s">
        <v>1634</v>
      </c>
      <c r="U275" s="103" t="s">
        <v>1338</v>
      </c>
      <c r="V275" s="66" t="s">
        <v>1339</v>
      </c>
      <c r="W275" s="66" t="s">
        <v>1340</v>
      </c>
    </row>
    <row r="276" spans="1:23" s="29" customFormat="1" ht="15.75" customHeight="1" x14ac:dyDescent="0.25">
      <c r="A276"/>
      <c r="B276" s="56" t="s">
        <v>334</v>
      </c>
      <c r="C276" s="56" t="s">
        <v>571</v>
      </c>
      <c r="D276" s="56" t="s">
        <v>421</v>
      </c>
      <c r="E276" s="56" t="s">
        <v>422</v>
      </c>
      <c r="F276" s="56"/>
      <c r="G276" s="68">
        <v>6214.58</v>
      </c>
      <c r="H276" s="68"/>
      <c r="I276" s="69"/>
      <c r="J276" s="69">
        <f>100*M276/(6132.449*1000)</f>
        <v>0.13079603271058593</v>
      </c>
      <c r="K276" s="69"/>
      <c r="L276" s="70"/>
      <c r="M276" s="70">
        <v>8021</v>
      </c>
      <c r="N276" s="70"/>
      <c r="O276" s="56" t="s">
        <v>569</v>
      </c>
      <c r="P276" s="56"/>
      <c r="Q276" s="56" t="s">
        <v>492</v>
      </c>
      <c r="R276" s="56"/>
      <c r="S276" s="56" t="s">
        <v>697</v>
      </c>
      <c r="T276" s="66" t="s">
        <v>480</v>
      </c>
      <c r="U276" s="66" t="s">
        <v>772</v>
      </c>
      <c r="V276" s="66" t="s">
        <v>1146</v>
      </c>
      <c r="W276" s="66" t="s">
        <v>1434</v>
      </c>
    </row>
    <row r="277" spans="1:23" s="29" customFormat="1" ht="15.75" customHeight="1" x14ac:dyDescent="0.25">
      <c r="A277"/>
      <c r="B277" s="56" t="s">
        <v>334</v>
      </c>
      <c r="C277" s="56" t="s">
        <v>571</v>
      </c>
      <c r="D277" s="56" t="s">
        <v>423</v>
      </c>
      <c r="E277" s="56" t="s">
        <v>424</v>
      </c>
      <c r="F277" s="56"/>
      <c r="G277" s="68">
        <v>5666.62</v>
      </c>
      <c r="H277" s="68"/>
      <c r="I277" s="56"/>
      <c r="J277" s="69">
        <f>100*M277/(5592.436*1000)</f>
        <v>0.75101440588680857</v>
      </c>
      <c r="K277" s="56"/>
      <c r="L277" s="70"/>
      <c r="M277" s="70">
        <v>42000</v>
      </c>
      <c r="N277" s="70"/>
      <c r="O277" s="56">
        <v>2015</v>
      </c>
      <c r="P277" s="56"/>
      <c r="Q277" s="56" t="s">
        <v>716</v>
      </c>
      <c r="R277" s="56"/>
      <c r="S277" s="56" t="s">
        <v>697</v>
      </c>
      <c r="T277" s="66" t="s">
        <v>680</v>
      </c>
      <c r="U277" s="66" t="s">
        <v>1204</v>
      </c>
      <c r="V277" s="66" t="s">
        <v>1234</v>
      </c>
      <c r="W277" s="66" t="s">
        <v>1233</v>
      </c>
    </row>
    <row r="278" spans="1:23" s="29" customFormat="1" ht="15.75" customHeight="1" x14ac:dyDescent="0.25">
      <c r="A278"/>
      <c r="B278" s="56" t="s">
        <v>334</v>
      </c>
      <c r="C278" s="56" t="s">
        <v>571</v>
      </c>
      <c r="D278" s="56" t="s">
        <v>379</v>
      </c>
      <c r="E278" s="56" t="s">
        <v>380</v>
      </c>
      <c r="F278" s="56"/>
      <c r="G278" s="68">
        <v>21.94</v>
      </c>
      <c r="H278" s="68"/>
      <c r="I278" s="69"/>
      <c r="J278" s="69">
        <f>100*M278/(18.685*1000)</f>
        <v>1.0703773080010704E-2</v>
      </c>
      <c r="K278" s="69"/>
      <c r="L278" s="70"/>
      <c r="M278" s="70">
        <v>2</v>
      </c>
      <c r="N278" s="70"/>
      <c r="O278" s="56">
        <v>2019</v>
      </c>
      <c r="P278" s="56"/>
      <c r="Q278" s="56"/>
      <c r="R278" s="56"/>
      <c r="S278" s="56"/>
      <c r="T278" s="66" t="s">
        <v>480</v>
      </c>
      <c r="U278" s="66" t="s">
        <v>1204</v>
      </c>
      <c r="V278" s="66" t="s">
        <v>1583</v>
      </c>
      <c r="W278" s="66" t="s">
        <v>1439</v>
      </c>
    </row>
    <row r="279" spans="1:23" s="29" customFormat="1" ht="15.75" customHeight="1" x14ac:dyDescent="0.25">
      <c r="A279"/>
      <c r="B279" s="56" t="s">
        <v>334</v>
      </c>
      <c r="C279" s="56" t="s">
        <v>571</v>
      </c>
      <c r="D279" s="56" t="s">
        <v>426</v>
      </c>
      <c r="E279" s="56" t="s">
        <v>427</v>
      </c>
      <c r="F279" s="56"/>
      <c r="G279" s="68">
        <v>42920.959999999999</v>
      </c>
      <c r="H279" s="68"/>
      <c r="I279" s="69">
        <v>0.28699999999999998</v>
      </c>
      <c r="J279" s="69">
        <v>0.3</v>
      </c>
      <c r="K279" s="69">
        <v>0.32200000000000001</v>
      </c>
      <c r="L279" s="70">
        <v>117370</v>
      </c>
      <c r="M279" s="70">
        <v>122894</v>
      </c>
      <c r="N279" s="70">
        <v>131869</v>
      </c>
      <c r="O279" s="56" t="s">
        <v>560</v>
      </c>
      <c r="P279" s="56" t="s">
        <v>946</v>
      </c>
      <c r="Q279" s="56" t="s">
        <v>709</v>
      </c>
      <c r="R279" s="56"/>
      <c r="S279" s="56" t="s">
        <v>697</v>
      </c>
      <c r="T279" s="66" t="s">
        <v>507</v>
      </c>
      <c r="U279" s="66" t="s">
        <v>767</v>
      </c>
      <c r="V279" s="66" t="s">
        <v>909</v>
      </c>
      <c r="W279" s="66" t="s">
        <v>789</v>
      </c>
    </row>
    <row r="280" spans="1:23" s="29" customFormat="1" ht="15.75" customHeight="1" x14ac:dyDescent="0.25">
      <c r="A280"/>
      <c r="B280" s="56"/>
      <c r="C280" s="56"/>
      <c r="D280" s="56"/>
      <c r="E280" s="56"/>
      <c r="F280" s="56"/>
      <c r="G280" s="68"/>
      <c r="H280" s="68"/>
      <c r="I280" s="56"/>
      <c r="J280" s="56"/>
      <c r="K280" s="56"/>
      <c r="L280" s="70" t="s">
        <v>508</v>
      </c>
      <c r="M280" s="70" t="s">
        <v>508</v>
      </c>
      <c r="N280" s="70" t="s">
        <v>508</v>
      </c>
      <c r="O280" s="56"/>
      <c r="P280" s="56"/>
      <c r="Q280" s="56"/>
      <c r="R280" s="56"/>
      <c r="S280" s="56"/>
      <c r="T280" s="66"/>
      <c r="U280" s="66"/>
      <c r="V280" s="66"/>
      <c r="W280" s="66"/>
    </row>
    <row r="281" spans="1:23" s="29" customFormat="1" ht="15.75" customHeight="1" x14ac:dyDescent="0.25">
      <c r="A281"/>
      <c r="B281" s="56"/>
      <c r="C281" s="56"/>
      <c r="D281" s="56"/>
      <c r="E281" s="56"/>
      <c r="F281" s="56"/>
      <c r="G281" s="68"/>
      <c r="H281" s="68"/>
      <c r="I281" s="56"/>
      <c r="J281" s="56"/>
      <c r="K281" s="56"/>
      <c r="L281" s="70" t="s">
        <v>508</v>
      </c>
      <c r="M281" s="70" t="s">
        <v>508</v>
      </c>
      <c r="N281" s="70" t="s">
        <v>508</v>
      </c>
      <c r="O281" s="56"/>
      <c r="P281" s="56"/>
      <c r="Q281" s="56"/>
      <c r="R281" s="56"/>
      <c r="S281" s="56"/>
      <c r="T281" s="66"/>
      <c r="U281" s="66"/>
      <c r="V281" s="66"/>
      <c r="W281" s="66"/>
    </row>
    <row r="282" spans="1:23" s="29" customFormat="1" ht="15.75" customHeight="1" x14ac:dyDescent="0.25">
      <c r="A282"/>
      <c r="B282" s="56"/>
      <c r="C282" s="56"/>
      <c r="D282" s="56"/>
      <c r="E282" s="56"/>
      <c r="F282" s="56"/>
      <c r="G282" s="68"/>
      <c r="H282" s="68"/>
      <c r="I282" s="56"/>
      <c r="J282" s="56"/>
      <c r="K282" s="56"/>
      <c r="L282" s="70" t="s">
        <v>508</v>
      </c>
      <c r="M282" s="70" t="s">
        <v>508</v>
      </c>
      <c r="N282" s="70" t="s">
        <v>508</v>
      </c>
      <c r="O282" s="56"/>
      <c r="P282" s="56"/>
      <c r="Q282" s="56"/>
      <c r="R282" s="56"/>
      <c r="S282" s="56"/>
      <c r="T282" s="66"/>
      <c r="U282" s="66"/>
      <c r="V282" s="66"/>
      <c r="W282" s="66"/>
    </row>
    <row r="283" spans="1:23" s="29" customFormat="1" ht="15.75" customHeight="1" x14ac:dyDescent="0.25">
      <c r="A283"/>
      <c r="B283" s="56" t="s">
        <v>334</v>
      </c>
      <c r="C283" s="56" t="s">
        <v>571</v>
      </c>
      <c r="D283" s="56" t="s">
        <v>359</v>
      </c>
      <c r="E283" s="56" t="s">
        <v>360</v>
      </c>
      <c r="F283" s="56"/>
      <c r="G283" s="68">
        <v>50.11</v>
      </c>
      <c r="H283" s="68"/>
      <c r="I283" s="69" t="s">
        <v>1645</v>
      </c>
      <c r="J283" s="69"/>
      <c r="K283" s="69"/>
      <c r="L283" s="70" t="s">
        <v>508</v>
      </c>
      <c r="M283" s="70" t="s">
        <v>508</v>
      </c>
      <c r="N283" s="70" t="s">
        <v>508</v>
      </c>
      <c r="O283" s="56"/>
      <c r="P283" s="56"/>
      <c r="Q283" s="56"/>
      <c r="R283" s="56"/>
      <c r="S283" s="56"/>
      <c r="T283" s="66"/>
      <c r="U283" s="66"/>
      <c r="V283" s="66"/>
      <c r="W283" s="66"/>
    </row>
    <row r="284" spans="1:23" s="29" customFormat="1" ht="15.75" customHeight="1" x14ac:dyDescent="0.25">
      <c r="A284"/>
      <c r="B284" s="56" t="s">
        <v>334</v>
      </c>
      <c r="C284" s="56" t="s">
        <v>571</v>
      </c>
      <c r="D284" s="56" t="s">
        <v>430</v>
      </c>
      <c r="E284" s="56" t="s">
        <v>431</v>
      </c>
      <c r="F284" s="56"/>
      <c r="G284" s="68">
        <v>115.11</v>
      </c>
      <c r="H284" s="68"/>
      <c r="I284" s="69" t="s">
        <v>1645</v>
      </c>
      <c r="J284" s="69"/>
      <c r="K284" s="69"/>
      <c r="L284" s="70" t="s">
        <v>508</v>
      </c>
      <c r="M284" s="70" t="s">
        <v>508</v>
      </c>
      <c r="N284" s="70" t="s">
        <v>508</v>
      </c>
      <c r="O284" s="56"/>
      <c r="P284" s="56"/>
      <c r="Q284" s="56"/>
      <c r="R284" s="56"/>
      <c r="S284" s="56"/>
      <c r="T284" s="66"/>
      <c r="U284" s="66"/>
      <c r="V284" s="66"/>
      <c r="W284" s="66"/>
    </row>
    <row r="285" spans="1:23" s="29" customFormat="1" ht="15.75" customHeight="1" x14ac:dyDescent="0.25">
      <c r="A285"/>
      <c r="B285" s="56" t="s">
        <v>334</v>
      </c>
      <c r="C285" s="56" t="s">
        <v>571</v>
      </c>
      <c r="D285" s="56" t="s">
        <v>372</v>
      </c>
      <c r="E285" s="56" t="s">
        <v>1010</v>
      </c>
      <c r="F285" s="56"/>
      <c r="G285" s="68">
        <v>30.96</v>
      </c>
      <c r="H285" s="68"/>
      <c r="I285" s="69" t="s">
        <v>1645</v>
      </c>
      <c r="J285" s="69"/>
      <c r="K285" s="69"/>
      <c r="L285" s="70" t="s">
        <v>508</v>
      </c>
      <c r="M285" s="70" t="s">
        <v>508</v>
      </c>
      <c r="N285" s="70" t="s">
        <v>508</v>
      </c>
      <c r="O285" s="56"/>
      <c r="P285" s="56"/>
      <c r="Q285" s="56"/>
      <c r="R285" s="56"/>
      <c r="S285" s="56"/>
      <c r="T285" s="66"/>
      <c r="U285" s="66"/>
      <c r="V285" s="66"/>
      <c r="W285" s="66"/>
    </row>
    <row r="286" spans="1:23" s="29" customFormat="1" ht="15.75" customHeight="1" x14ac:dyDescent="0.25">
      <c r="A286"/>
      <c r="B286" s="56" t="s">
        <v>334</v>
      </c>
      <c r="C286" s="56" t="s">
        <v>571</v>
      </c>
      <c r="D286" s="56" t="s">
        <v>377</v>
      </c>
      <c r="E286" s="56" t="s">
        <v>378</v>
      </c>
      <c r="F286" s="56"/>
      <c r="G286" s="68">
        <v>53962.06</v>
      </c>
      <c r="H286" s="68"/>
      <c r="I286" s="69" t="s">
        <v>1645</v>
      </c>
      <c r="J286" s="69"/>
      <c r="K286" s="69"/>
      <c r="L286" s="70"/>
      <c r="M286" s="70"/>
      <c r="N286" s="70"/>
      <c r="O286" s="56"/>
      <c r="P286" s="56"/>
      <c r="Q286" s="56"/>
      <c r="R286" s="56"/>
      <c r="S286" s="56"/>
      <c r="T286" s="56"/>
      <c r="U286" s="66"/>
      <c r="V286" s="66"/>
      <c r="W286" s="66" t="s">
        <v>1336</v>
      </c>
    </row>
    <row r="287" spans="1:23" s="29" customFormat="1" ht="15.75" customHeight="1" x14ac:dyDescent="0.25">
      <c r="A287"/>
      <c r="B287" s="56" t="s">
        <v>334</v>
      </c>
      <c r="C287" s="56" t="s">
        <v>571</v>
      </c>
      <c r="D287" s="56" t="s">
        <v>1623</v>
      </c>
      <c r="E287" s="56" t="s">
        <v>1624</v>
      </c>
      <c r="F287" s="56"/>
      <c r="G287" s="68">
        <v>0.53</v>
      </c>
      <c r="H287" s="68"/>
      <c r="I287" s="69" t="s">
        <v>1645</v>
      </c>
      <c r="J287" s="69"/>
      <c r="K287" s="69"/>
      <c r="L287" s="70"/>
      <c r="M287" s="70"/>
      <c r="N287" s="70"/>
      <c r="O287" s="56"/>
      <c r="P287" s="56"/>
      <c r="Q287" s="56"/>
      <c r="R287" s="56"/>
      <c r="S287" s="56"/>
      <c r="T287" s="56"/>
      <c r="U287" s="66"/>
      <c r="V287" s="66"/>
      <c r="W287" s="66"/>
    </row>
    <row r="288" spans="1:23" s="29" customFormat="1" ht="15.75" customHeight="1" x14ac:dyDescent="0.25">
      <c r="A288"/>
      <c r="B288" s="56" t="s">
        <v>334</v>
      </c>
      <c r="C288" s="56" t="s">
        <v>571</v>
      </c>
      <c r="D288" s="56" t="s">
        <v>391</v>
      </c>
      <c r="E288" s="56" t="s">
        <v>392</v>
      </c>
      <c r="F288" s="56"/>
      <c r="G288" s="68">
        <v>53.66</v>
      </c>
      <c r="H288" s="68"/>
      <c r="I288" s="69" t="s">
        <v>1645</v>
      </c>
      <c r="J288" s="69"/>
      <c r="K288" s="69"/>
      <c r="L288" s="70" t="s">
        <v>508</v>
      </c>
      <c r="M288" s="70" t="s">
        <v>508</v>
      </c>
      <c r="N288" s="70" t="s">
        <v>508</v>
      </c>
      <c r="O288" s="56"/>
      <c r="P288" s="56"/>
      <c r="Q288" s="56"/>
      <c r="R288" s="56"/>
      <c r="S288" s="56"/>
      <c r="T288" s="66"/>
      <c r="U288" s="66"/>
      <c r="V288" s="66"/>
      <c r="W288" s="66"/>
    </row>
    <row r="289" spans="1:24" s="29" customFormat="1" ht="15.75" customHeight="1" x14ac:dyDescent="0.25">
      <c r="A289"/>
      <c r="B289" s="56" t="s">
        <v>334</v>
      </c>
      <c r="C289" s="56" t="s">
        <v>571</v>
      </c>
      <c r="D289" s="56" t="s">
        <v>397</v>
      </c>
      <c r="E289" s="56" t="s">
        <v>398</v>
      </c>
      <c r="F289" s="56"/>
      <c r="G289" s="68">
        <v>24.29</v>
      </c>
      <c r="H289" s="68"/>
      <c r="I289" s="69" t="s">
        <v>1645</v>
      </c>
      <c r="J289" s="69"/>
      <c r="K289" s="69"/>
      <c r="L289" s="70" t="s">
        <v>508</v>
      </c>
      <c r="M289" s="70" t="s">
        <v>508</v>
      </c>
      <c r="N289" s="70" t="s">
        <v>508</v>
      </c>
      <c r="O289" s="56"/>
      <c r="P289" s="56"/>
      <c r="Q289" s="56"/>
      <c r="R289" s="56"/>
      <c r="S289" s="56"/>
      <c r="T289" s="66"/>
      <c r="U289" s="66"/>
      <c r="V289" s="66"/>
      <c r="W289" s="66"/>
    </row>
    <row r="290" spans="1:24" s="29" customFormat="1" ht="15.75" customHeight="1" x14ac:dyDescent="0.25">
      <c r="A290"/>
      <c r="B290" s="56" t="s">
        <v>334</v>
      </c>
      <c r="C290" s="56" t="s">
        <v>571</v>
      </c>
      <c r="D290" s="56" t="s">
        <v>405</v>
      </c>
      <c r="E290" s="56" t="s">
        <v>406</v>
      </c>
      <c r="F290" s="56"/>
      <c r="G290" s="68">
        <v>24.77</v>
      </c>
      <c r="H290" s="68"/>
      <c r="I290" s="69" t="s">
        <v>1645</v>
      </c>
      <c r="J290" s="69"/>
      <c r="K290" s="69"/>
      <c r="L290" s="70" t="s">
        <v>508</v>
      </c>
      <c r="M290" s="70" t="s">
        <v>508</v>
      </c>
      <c r="N290" s="70" t="s">
        <v>508</v>
      </c>
      <c r="O290" s="56"/>
      <c r="P290" s="56"/>
      <c r="Q290" s="56"/>
      <c r="R290" s="56"/>
      <c r="S290" s="56"/>
      <c r="T290" s="66"/>
      <c r="U290" s="66"/>
      <c r="V290" s="66"/>
      <c r="W290" s="66"/>
    </row>
    <row r="291" spans="1:24" s="29" customFormat="1" ht="15.75" customHeight="1" x14ac:dyDescent="0.25">
      <c r="A291"/>
      <c r="B291" s="56" t="s">
        <v>334</v>
      </c>
      <c r="C291" s="56" t="s">
        <v>571</v>
      </c>
      <c r="D291" s="56" t="s">
        <v>428</v>
      </c>
      <c r="E291" s="56" t="s">
        <v>429</v>
      </c>
      <c r="F291" s="56"/>
      <c r="G291" s="68">
        <v>21.98</v>
      </c>
      <c r="H291" s="68"/>
      <c r="I291" s="69" t="s">
        <v>1645</v>
      </c>
      <c r="J291" s="69"/>
      <c r="K291" s="69"/>
      <c r="L291" s="70" t="s">
        <v>508</v>
      </c>
      <c r="M291" s="70" t="s">
        <v>508</v>
      </c>
      <c r="N291" s="70" t="s">
        <v>508</v>
      </c>
      <c r="O291" s="56"/>
      <c r="P291" s="56"/>
      <c r="Q291" s="56"/>
      <c r="R291" s="56"/>
      <c r="S291" s="56"/>
      <c r="T291" s="66"/>
      <c r="U291" s="66"/>
      <c r="V291" s="66"/>
      <c r="W291" s="66"/>
    </row>
    <row r="292" spans="1:24" s="29" customFormat="1" ht="15.75" customHeight="1" thickBot="1" x14ac:dyDescent="0.3">
      <c r="A292"/>
      <c r="B292" s="56"/>
      <c r="C292" s="56"/>
      <c r="D292" s="56"/>
      <c r="E292" s="56"/>
      <c r="F292" s="56"/>
      <c r="G292" s="68"/>
      <c r="H292" s="68"/>
      <c r="I292" s="56"/>
      <c r="J292" s="56"/>
      <c r="K292" s="56"/>
      <c r="L292" s="70" t="s">
        <v>508</v>
      </c>
      <c r="M292" s="70" t="s">
        <v>508</v>
      </c>
      <c r="N292" s="70" t="s">
        <v>508</v>
      </c>
      <c r="O292" s="56"/>
      <c r="P292" s="56"/>
      <c r="Q292" s="56"/>
      <c r="R292" s="56"/>
      <c r="S292" s="56"/>
      <c r="T292" s="66"/>
      <c r="U292" s="66"/>
      <c r="V292" s="66"/>
      <c r="W292" s="66"/>
    </row>
    <row r="293" spans="1:24" s="29" customFormat="1" ht="15.75" customHeight="1" thickTop="1" x14ac:dyDescent="0.25">
      <c r="A293"/>
      <c r="B293" s="74"/>
      <c r="C293" s="74"/>
      <c r="D293" s="74"/>
      <c r="E293" s="74"/>
      <c r="F293" s="74"/>
      <c r="G293" s="75"/>
      <c r="H293" s="75"/>
      <c r="I293" s="74"/>
      <c r="J293" s="74"/>
      <c r="K293" s="74"/>
      <c r="L293" s="74" t="s">
        <v>508</v>
      </c>
      <c r="M293" s="74" t="s">
        <v>508</v>
      </c>
      <c r="N293" s="74" t="s">
        <v>508</v>
      </c>
      <c r="O293" s="56"/>
      <c r="P293" s="56"/>
      <c r="Q293" s="56"/>
      <c r="R293" s="56"/>
      <c r="S293" s="56"/>
      <c r="T293" s="76"/>
      <c r="U293" s="66"/>
      <c r="V293" s="66"/>
      <c r="W293" s="66"/>
      <c r="X293" s="44"/>
    </row>
    <row r="294" spans="1:24" s="29" customFormat="1" ht="15.75" customHeight="1" x14ac:dyDescent="0.25">
      <c r="A294"/>
      <c r="B294" s="56" t="s">
        <v>432</v>
      </c>
      <c r="C294" s="56" t="s">
        <v>475</v>
      </c>
      <c r="D294" s="56" t="s">
        <v>435</v>
      </c>
      <c r="E294" s="56" t="s">
        <v>436</v>
      </c>
      <c r="F294" s="56"/>
      <c r="G294" s="68">
        <v>16221.84</v>
      </c>
      <c r="H294" s="68"/>
      <c r="I294" s="69"/>
      <c r="J294" s="69">
        <f>100*M294/(22094.04*1000)</f>
        <v>0.34010076925722954</v>
      </c>
      <c r="K294" s="69"/>
      <c r="L294" s="70"/>
      <c r="M294" s="70">
        <v>75142</v>
      </c>
      <c r="N294" s="70"/>
      <c r="O294" s="78" t="s">
        <v>1629</v>
      </c>
      <c r="P294" s="56"/>
      <c r="Q294" s="56" t="s">
        <v>1630</v>
      </c>
      <c r="R294" s="56" t="s">
        <v>693</v>
      </c>
      <c r="S294" s="56" t="s">
        <v>697</v>
      </c>
      <c r="T294" s="66" t="s">
        <v>1627</v>
      </c>
      <c r="U294" s="66" t="s">
        <v>998</v>
      </c>
      <c r="V294" s="104" t="s">
        <v>1628</v>
      </c>
      <c r="W294" s="66" t="s">
        <v>1654</v>
      </c>
    </row>
    <row r="295" spans="1:24" s="29" customFormat="1" ht="15.75" customHeight="1" x14ac:dyDescent="0.25">
      <c r="A295"/>
      <c r="B295" s="56" t="s">
        <v>432</v>
      </c>
      <c r="C295" s="56" t="s">
        <v>475</v>
      </c>
      <c r="D295" s="56" t="s">
        <v>443</v>
      </c>
      <c r="E295" s="56" t="s">
        <v>444</v>
      </c>
      <c r="F295" s="56"/>
      <c r="G295" s="68">
        <v>3068.53</v>
      </c>
      <c r="H295" s="68"/>
      <c r="I295" s="56"/>
      <c r="J295" s="69">
        <f>100*M295/(2928.908*1000)</f>
        <v>0.61456351650512753</v>
      </c>
      <c r="K295" s="56"/>
      <c r="L295" s="70"/>
      <c r="M295" s="70">
        <v>18000</v>
      </c>
      <c r="N295" s="70"/>
      <c r="O295" s="56" t="s">
        <v>1202</v>
      </c>
      <c r="P295" s="56" t="s">
        <v>508</v>
      </c>
      <c r="Q295" s="56" t="s">
        <v>508</v>
      </c>
      <c r="R295" s="56"/>
      <c r="S295" s="56" t="s">
        <v>697</v>
      </c>
      <c r="T295" s="66" t="s">
        <v>480</v>
      </c>
      <c r="U295" s="66" t="s">
        <v>748</v>
      </c>
      <c r="V295" s="66" t="s">
        <v>1203</v>
      </c>
      <c r="W295" s="66"/>
    </row>
    <row r="296" spans="1:24" s="29" customFormat="1" ht="15.75" customHeight="1" x14ac:dyDescent="0.25">
      <c r="A296"/>
      <c r="B296" s="56"/>
      <c r="C296" s="56"/>
      <c r="D296" s="56"/>
      <c r="E296" s="56"/>
      <c r="F296" s="56"/>
      <c r="G296" s="68"/>
      <c r="H296" s="68"/>
      <c r="I296" s="56"/>
      <c r="J296" s="56"/>
      <c r="K296" s="56"/>
      <c r="L296" s="70" t="s">
        <v>508</v>
      </c>
      <c r="M296" s="70" t="s">
        <v>508</v>
      </c>
      <c r="N296" s="70" t="s">
        <v>508</v>
      </c>
      <c r="O296" s="56"/>
      <c r="P296" s="56"/>
      <c r="Q296" s="56"/>
      <c r="R296" s="56"/>
      <c r="S296" s="56"/>
      <c r="T296" s="66"/>
      <c r="U296" s="66"/>
      <c r="V296" s="66"/>
      <c r="W296" s="66"/>
    </row>
    <row r="297" spans="1:24" s="29" customFormat="1" ht="15.75" customHeight="1" x14ac:dyDescent="0.25">
      <c r="A297"/>
      <c r="B297" s="56"/>
      <c r="C297" s="56"/>
      <c r="D297" s="56"/>
      <c r="E297" s="56"/>
      <c r="F297" s="56"/>
      <c r="G297" s="68"/>
      <c r="H297" s="68"/>
      <c r="I297" s="56"/>
      <c r="J297" s="56"/>
      <c r="K297" s="56"/>
      <c r="L297" s="70" t="s">
        <v>508</v>
      </c>
      <c r="M297" s="70" t="s">
        <v>508</v>
      </c>
      <c r="N297" s="70" t="s">
        <v>508</v>
      </c>
      <c r="O297" s="56"/>
      <c r="P297" s="56"/>
      <c r="Q297" s="56"/>
      <c r="R297" s="56"/>
      <c r="S297" s="56"/>
      <c r="T297" s="66"/>
      <c r="U297" s="66"/>
      <c r="V297" s="66"/>
      <c r="W297" s="66"/>
    </row>
    <row r="298" spans="1:24" s="29" customFormat="1" ht="15.75" customHeight="1" x14ac:dyDescent="0.25">
      <c r="A298"/>
      <c r="B298" s="56" t="s">
        <v>432</v>
      </c>
      <c r="C298" s="56" t="s">
        <v>475</v>
      </c>
      <c r="D298" s="56" t="s">
        <v>433</v>
      </c>
      <c r="E298" s="56" t="s">
        <v>434</v>
      </c>
      <c r="F298" s="56"/>
      <c r="G298" s="68">
        <v>35.04</v>
      </c>
      <c r="H298" s="68"/>
      <c r="I298" s="69" t="s">
        <v>1645</v>
      </c>
      <c r="J298" s="69"/>
      <c r="K298" s="69"/>
      <c r="L298" s="69" t="s">
        <v>508</v>
      </c>
      <c r="M298" s="69" t="s">
        <v>508</v>
      </c>
      <c r="N298" s="69" t="s">
        <v>508</v>
      </c>
      <c r="O298" s="56"/>
      <c r="P298" s="56"/>
      <c r="Q298" s="56"/>
      <c r="R298" s="56"/>
      <c r="S298" s="56"/>
      <c r="T298" s="66"/>
      <c r="U298" s="66"/>
      <c r="V298" s="66"/>
      <c r="W298" s="66"/>
    </row>
    <row r="299" spans="1:24" s="29" customFormat="1" ht="15.75" customHeight="1" x14ac:dyDescent="0.25">
      <c r="A299"/>
      <c r="B299" s="56" t="s">
        <v>432</v>
      </c>
      <c r="C299" s="56" t="s">
        <v>475</v>
      </c>
      <c r="D299" s="56" t="s">
        <v>449</v>
      </c>
      <c r="E299" s="56" t="s">
        <v>450</v>
      </c>
      <c r="F299" s="56"/>
      <c r="G299" s="68">
        <v>11.07</v>
      </c>
      <c r="H299" s="68"/>
      <c r="I299" s="69" t="s">
        <v>1645</v>
      </c>
      <c r="J299" s="69"/>
      <c r="K299" s="69"/>
      <c r="L299" s="69" t="s">
        <v>508</v>
      </c>
      <c r="M299" s="69" t="s">
        <v>508</v>
      </c>
      <c r="N299" s="69" t="s">
        <v>508</v>
      </c>
      <c r="O299" s="56"/>
      <c r="P299" s="56"/>
      <c r="Q299" s="56"/>
      <c r="R299" s="56"/>
      <c r="S299" s="56"/>
      <c r="T299" s="66"/>
      <c r="U299" s="66"/>
      <c r="V299" s="66"/>
      <c r="W299" s="66"/>
    </row>
    <row r="300" spans="1:24" s="29" customFormat="1" ht="15.75" customHeight="1" x14ac:dyDescent="0.25">
      <c r="A300"/>
      <c r="B300" s="56" t="s">
        <v>432</v>
      </c>
      <c r="C300" s="56" t="s">
        <v>475</v>
      </c>
      <c r="D300" s="56" t="s">
        <v>437</v>
      </c>
      <c r="E300" s="56" t="s">
        <v>438</v>
      </c>
      <c r="F300" s="56"/>
      <c r="G300" s="68">
        <v>574.6</v>
      </c>
      <c r="H300" s="68"/>
      <c r="I300" s="69" t="s">
        <v>1645</v>
      </c>
      <c r="J300" s="69"/>
      <c r="K300" s="69"/>
      <c r="L300" s="69" t="s">
        <v>508</v>
      </c>
      <c r="M300" s="69" t="s">
        <v>508</v>
      </c>
      <c r="N300" s="69" t="s">
        <v>508</v>
      </c>
      <c r="O300" s="56"/>
      <c r="P300" s="56"/>
      <c r="Q300" s="56"/>
      <c r="R300" s="56"/>
      <c r="S300" s="56"/>
      <c r="T300" s="66"/>
      <c r="U300" s="66"/>
      <c r="V300" s="66"/>
      <c r="W300" s="66"/>
    </row>
    <row r="301" spans="1:24" s="29" customFormat="1" ht="15.75" customHeight="1" x14ac:dyDescent="0.25">
      <c r="A301"/>
      <c r="B301" s="56" t="s">
        <v>432</v>
      </c>
      <c r="C301" s="56" t="s">
        <v>475</v>
      </c>
      <c r="D301" s="56" t="s">
        <v>451</v>
      </c>
      <c r="E301" s="56" t="s">
        <v>452</v>
      </c>
      <c r="F301" s="56"/>
      <c r="G301" s="68">
        <v>191.45</v>
      </c>
      <c r="H301" s="68"/>
      <c r="I301" s="69" t="s">
        <v>1645</v>
      </c>
      <c r="J301" s="69"/>
      <c r="K301" s="69"/>
      <c r="L301" s="69" t="s">
        <v>508</v>
      </c>
      <c r="M301" s="69" t="s">
        <v>508</v>
      </c>
      <c r="N301" s="69" t="s">
        <v>508</v>
      </c>
      <c r="O301" s="56"/>
      <c r="P301" s="56"/>
      <c r="Q301" s="56"/>
      <c r="R301" s="56"/>
      <c r="S301" s="56"/>
      <c r="T301" s="66"/>
      <c r="U301" s="66"/>
      <c r="V301" s="66"/>
      <c r="W301" s="66"/>
    </row>
    <row r="302" spans="1:24" s="29" customFormat="1" ht="15.75" customHeight="1" x14ac:dyDescent="0.25">
      <c r="A302"/>
      <c r="B302" s="56" t="s">
        <v>432</v>
      </c>
      <c r="C302" s="56" t="s">
        <v>475</v>
      </c>
      <c r="D302" s="56" t="s">
        <v>439</v>
      </c>
      <c r="E302" s="56" t="s">
        <v>440</v>
      </c>
      <c r="F302" s="56"/>
      <c r="G302" s="68">
        <v>108.89</v>
      </c>
      <c r="H302" s="68"/>
      <c r="I302" s="69" t="s">
        <v>1645</v>
      </c>
      <c r="J302" s="69"/>
      <c r="K302" s="69"/>
      <c r="L302" s="69" t="s">
        <v>508</v>
      </c>
      <c r="M302" s="69" t="s">
        <v>508</v>
      </c>
      <c r="N302" s="69" t="s">
        <v>508</v>
      </c>
      <c r="O302" s="56"/>
      <c r="P302" s="56"/>
      <c r="Q302" s="56"/>
      <c r="R302" s="56"/>
      <c r="S302" s="56"/>
      <c r="T302" s="66"/>
      <c r="U302" s="66"/>
      <c r="V302" s="66"/>
      <c r="W302" s="66"/>
    </row>
    <row r="303" spans="1:24" s="29" customFormat="1" ht="15.75" customHeight="1" x14ac:dyDescent="0.25">
      <c r="A303"/>
      <c r="B303" s="56" t="s">
        <v>432</v>
      </c>
      <c r="C303" s="56" t="s">
        <v>475</v>
      </c>
      <c r="D303" s="56" t="s">
        <v>453</v>
      </c>
      <c r="E303" s="56" t="s">
        <v>454</v>
      </c>
      <c r="F303" s="56"/>
      <c r="G303" s="68">
        <v>70.099999999999994</v>
      </c>
      <c r="H303" s="68"/>
      <c r="I303" s="69" t="s">
        <v>1645</v>
      </c>
      <c r="J303" s="69"/>
      <c r="K303" s="69"/>
      <c r="L303" s="69" t="s">
        <v>508</v>
      </c>
      <c r="M303" s="69" t="s">
        <v>508</v>
      </c>
      <c r="N303" s="69" t="s">
        <v>508</v>
      </c>
      <c r="O303" s="56"/>
      <c r="P303" s="56"/>
      <c r="Q303" s="56"/>
      <c r="R303" s="56"/>
      <c r="S303" s="56"/>
      <c r="T303" s="66"/>
      <c r="U303" s="66"/>
      <c r="V303" s="66"/>
      <c r="W303" s="66"/>
    </row>
    <row r="304" spans="1:24" s="29" customFormat="1" ht="15.75" customHeight="1" x14ac:dyDescent="0.25">
      <c r="A304"/>
      <c r="B304" s="56" t="s">
        <v>432</v>
      </c>
      <c r="C304" s="56" t="s">
        <v>475</v>
      </c>
      <c r="D304" s="56" t="s">
        <v>441</v>
      </c>
      <c r="E304" s="56" t="s">
        <v>442</v>
      </c>
      <c r="F304" s="56"/>
      <c r="G304" s="68">
        <v>37.31</v>
      </c>
      <c r="H304" s="68"/>
      <c r="I304" s="69" t="s">
        <v>1645</v>
      </c>
      <c r="J304" s="69"/>
      <c r="K304" s="69"/>
      <c r="L304" s="69" t="s">
        <v>508</v>
      </c>
      <c r="M304" s="69" t="s">
        <v>508</v>
      </c>
      <c r="N304" s="69" t="s">
        <v>508</v>
      </c>
      <c r="O304" s="56"/>
      <c r="P304" s="56"/>
      <c r="Q304" s="56"/>
      <c r="R304" s="56"/>
      <c r="S304" s="56"/>
      <c r="T304" s="66"/>
      <c r="U304" s="66"/>
      <c r="V304" s="66"/>
      <c r="W304" s="66"/>
    </row>
    <row r="305" spans="1:24" s="29" customFormat="1" ht="15.75" customHeight="1" x14ac:dyDescent="0.25">
      <c r="A305"/>
      <c r="B305" s="56" t="s">
        <v>432</v>
      </c>
      <c r="C305" s="56" t="s">
        <v>475</v>
      </c>
      <c r="D305" s="56" t="s">
        <v>455</v>
      </c>
      <c r="E305" s="56" t="s">
        <v>456</v>
      </c>
      <c r="F305" s="56"/>
      <c r="G305" s="68">
        <v>72.430000000000007</v>
      </c>
      <c r="H305" s="68"/>
      <c r="I305" s="69" t="s">
        <v>1645</v>
      </c>
      <c r="J305" s="69"/>
      <c r="K305" s="69"/>
      <c r="L305" s="69" t="s">
        <v>508</v>
      </c>
      <c r="M305" s="69" t="s">
        <v>508</v>
      </c>
      <c r="N305" s="69" t="s">
        <v>508</v>
      </c>
      <c r="O305" s="56"/>
      <c r="P305" s="56"/>
      <c r="Q305" s="56"/>
      <c r="R305" s="56"/>
      <c r="S305" s="56"/>
      <c r="T305" s="66"/>
      <c r="U305" s="66"/>
      <c r="V305" s="66"/>
      <c r="W305" s="66"/>
    </row>
    <row r="306" spans="1:24" s="29" customFormat="1" ht="15.75" customHeight="1" x14ac:dyDescent="0.25">
      <c r="A306"/>
      <c r="B306" s="56" t="s">
        <v>432</v>
      </c>
      <c r="C306" s="56" t="s">
        <v>475</v>
      </c>
      <c r="D306" s="56" t="s">
        <v>457</v>
      </c>
      <c r="E306" s="56" t="s">
        <v>458</v>
      </c>
      <c r="F306" s="56"/>
      <c r="G306" s="68">
        <v>6.82</v>
      </c>
      <c r="H306" s="68"/>
      <c r="I306" s="69" t="s">
        <v>1645</v>
      </c>
      <c r="J306" s="69"/>
      <c r="K306" s="69"/>
      <c r="L306" s="69" t="s">
        <v>508</v>
      </c>
      <c r="M306" s="69" t="s">
        <v>508</v>
      </c>
      <c r="N306" s="69" t="s">
        <v>508</v>
      </c>
      <c r="O306" s="56"/>
      <c r="P306" s="56"/>
      <c r="Q306" s="56"/>
      <c r="R306" s="56"/>
      <c r="S306" s="56"/>
      <c r="T306" s="66"/>
      <c r="U306" s="66"/>
      <c r="V306" s="66"/>
      <c r="W306" s="66"/>
    </row>
    <row r="307" spans="1:24" s="29" customFormat="1" ht="15.75" customHeight="1" x14ac:dyDescent="0.25">
      <c r="A307"/>
      <c r="B307" s="56" t="s">
        <v>432</v>
      </c>
      <c r="C307" s="56" t="s">
        <v>475</v>
      </c>
      <c r="D307" s="56" t="s">
        <v>459</v>
      </c>
      <c r="E307" s="56" t="s">
        <v>460</v>
      </c>
      <c r="F307" s="56"/>
      <c r="G307" s="68">
        <v>190.63</v>
      </c>
      <c r="H307" s="68"/>
      <c r="I307" s="69" t="s">
        <v>1645</v>
      </c>
      <c r="J307" s="69"/>
      <c r="K307" s="69"/>
      <c r="L307" s="69" t="s">
        <v>508</v>
      </c>
      <c r="M307" s="69" t="s">
        <v>508</v>
      </c>
      <c r="N307" s="69" t="s">
        <v>508</v>
      </c>
      <c r="O307" s="56"/>
      <c r="P307" s="56"/>
      <c r="Q307" s="56"/>
      <c r="R307" s="56"/>
      <c r="S307" s="56"/>
      <c r="T307" s="66"/>
      <c r="U307" s="66"/>
      <c r="V307" s="66"/>
      <c r="W307" s="66"/>
    </row>
    <row r="308" spans="1:24" s="29" customFormat="1" ht="15.75" customHeight="1" x14ac:dyDescent="0.25">
      <c r="A308"/>
      <c r="B308" s="56" t="s">
        <v>432</v>
      </c>
      <c r="C308" s="56" t="s">
        <v>475</v>
      </c>
      <c r="D308" s="56" t="s">
        <v>1619</v>
      </c>
      <c r="E308" s="56" t="s">
        <v>1620</v>
      </c>
      <c r="F308" s="56"/>
      <c r="G308" s="68">
        <v>1.02</v>
      </c>
      <c r="H308" s="68"/>
      <c r="I308" s="69" t="s">
        <v>1645</v>
      </c>
      <c r="J308" s="69"/>
      <c r="K308" s="69"/>
      <c r="L308" s="69"/>
      <c r="M308" s="69"/>
      <c r="N308" s="69"/>
      <c r="O308" s="56"/>
      <c r="P308" s="56"/>
      <c r="Q308" s="56"/>
      <c r="R308" s="56"/>
      <c r="S308" s="56"/>
      <c r="T308" s="66"/>
      <c r="U308" s="66"/>
      <c r="V308" s="66"/>
      <c r="W308" s="66"/>
    </row>
    <row r="309" spans="1:24" s="29" customFormat="1" ht="15.75" customHeight="1" x14ac:dyDescent="0.25">
      <c r="A309"/>
      <c r="B309" s="56" t="s">
        <v>432</v>
      </c>
      <c r="C309" s="56" t="s">
        <v>475</v>
      </c>
      <c r="D309" s="56" t="s">
        <v>445</v>
      </c>
      <c r="E309" s="56" t="s">
        <v>446</v>
      </c>
      <c r="F309" s="56"/>
      <c r="G309" s="68">
        <v>36.33</v>
      </c>
      <c r="H309" s="68"/>
      <c r="I309" s="69" t="s">
        <v>1645</v>
      </c>
      <c r="J309" s="69"/>
      <c r="K309" s="69"/>
      <c r="L309" s="69" t="s">
        <v>508</v>
      </c>
      <c r="M309" s="69" t="s">
        <v>508</v>
      </c>
      <c r="N309" s="69" t="s">
        <v>508</v>
      </c>
      <c r="O309" s="56"/>
      <c r="P309" s="56"/>
      <c r="Q309" s="56"/>
      <c r="R309" s="56"/>
      <c r="S309" s="56"/>
      <c r="T309" s="66"/>
      <c r="U309" s="66"/>
      <c r="V309" s="66"/>
      <c r="W309" s="66"/>
    </row>
    <row r="310" spans="1:24" s="29" customFormat="1" ht="15.75" customHeight="1" x14ac:dyDescent="0.25">
      <c r="A310"/>
      <c r="B310" s="56" t="s">
        <v>432</v>
      </c>
      <c r="C310" s="56" t="s">
        <v>475</v>
      </c>
      <c r="D310" s="56" t="s">
        <v>447</v>
      </c>
      <c r="E310" s="56" t="s">
        <v>448</v>
      </c>
      <c r="F310" s="56"/>
      <c r="G310" s="68">
        <v>11.44</v>
      </c>
      <c r="H310" s="68"/>
      <c r="I310" s="69" t="s">
        <v>1645</v>
      </c>
      <c r="J310" s="69"/>
      <c r="K310" s="69"/>
      <c r="L310" s="69" t="s">
        <v>508</v>
      </c>
      <c r="M310" s="69" t="s">
        <v>508</v>
      </c>
      <c r="N310" s="69" t="s">
        <v>508</v>
      </c>
      <c r="O310" s="56"/>
      <c r="P310" s="56"/>
      <c r="Q310" s="56"/>
      <c r="R310" s="56"/>
      <c r="S310" s="56"/>
      <c r="T310" s="66"/>
      <c r="U310" s="66"/>
      <c r="V310" s="66"/>
      <c r="W310" s="66"/>
    </row>
    <row r="311" spans="1:24" s="29" customFormat="1" ht="15.75" customHeight="1" x14ac:dyDescent="0.25">
      <c r="A311"/>
      <c r="B311" s="56" t="s">
        <v>432</v>
      </c>
      <c r="C311" s="56" t="s">
        <v>475</v>
      </c>
      <c r="D311" s="56" t="s">
        <v>461</v>
      </c>
      <c r="E311" s="56" t="s">
        <v>462</v>
      </c>
      <c r="F311" s="56"/>
      <c r="G311" s="68">
        <v>5227.38</v>
      </c>
      <c r="H311" s="68"/>
      <c r="I311" s="69" t="s">
        <v>1645</v>
      </c>
      <c r="J311" s="69"/>
      <c r="K311" s="69"/>
      <c r="L311" s="69" t="s">
        <v>508</v>
      </c>
      <c r="M311" s="69" t="s">
        <v>508</v>
      </c>
      <c r="N311" s="69" t="s">
        <v>508</v>
      </c>
      <c r="O311" s="56"/>
      <c r="P311" s="56"/>
      <c r="Q311" s="56"/>
      <c r="R311" s="56"/>
      <c r="S311" s="56"/>
      <c r="T311" s="66"/>
      <c r="U311" s="66"/>
      <c r="V311" s="66"/>
      <c r="W311" s="66"/>
    </row>
    <row r="312" spans="1:24" s="29" customFormat="1" ht="15.75" customHeight="1" x14ac:dyDescent="0.25">
      <c r="A312"/>
      <c r="B312" s="56" t="s">
        <v>432</v>
      </c>
      <c r="C312" s="56" t="s">
        <v>475</v>
      </c>
      <c r="D312" s="56" t="s">
        <v>463</v>
      </c>
      <c r="E312" s="56" t="s">
        <v>464</v>
      </c>
      <c r="F312" s="56"/>
      <c r="G312" s="68">
        <v>111.56</v>
      </c>
      <c r="H312" s="68"/>
      <c r="I312" s="69" t="s">
        <v>1645</v>
      </c>
      <c r="J312" s="69"/>
      <c r="K312" s="69"/>
      <c r="L312" s="69" t="s">
        <v>508</v>
      </c>
      <c r="M312" s="69" t="s">
        <v>508</v>
      </c>
      <c r="N312" s="69" t="s">
        <v>508</v>
      </c>
      <c r="O312" s="56"/>
      <c r="P312" s="56"/>
      <c r="Q312" s="56"/>
      <c r="R312" s="56"/>
      <c r="S312" s="56"/>
      <c r="T312" s="66"/>
      <c r="U312" s="66"/>
      <c r="V312" s="66"/>
      <c r="W312" s="66"/>
    </row>
    <row r="313" spans="1:24" s="29" customFormat="1" ht="15.75" customHeight="1" x14ac:dyDescent="0.25">
      <c r="A313"/>
      <c r="B313" s="56" t="s">
        <v>432</v>
      </c>
      <c r="C313" s="56" t="s">
        <v>475</v>
      </c>
      <c r="D313" s="56" t="s">
        <v>465</v>
      </c>
      <c r="E313" s="56" t="s">
        <v>466</v>
      </c>
      <c r="F313" s="56"/>
      <c r="G313" s="68">
        <v>366.64</v>
      </c>
      <c r="H313" s="68"/>
      <c r="I313" s="69" t="s">
        <v>1645</v>
      </c>
      <c r="J313" s="69"/>
      <c r="K313" s="69"/>
      <c r="L313" s="69" t="s">
        <v>508</v>
      </c>
      <c r="M313" s="69" t="s">
        <v>508</v>
      </c>
      <c r="N313" s="69" t="s">
        <v>508</v>
      </c>
      <c r="O313" s="56"/>
      <c r="P313" s="56"/>
      <c r="Q313" s="56"/>
      <c r="R313" s="56"/>
      <c r="S313" s="56"/>
      <c r="T313" s="66"/>
      <c r="U313" s="66"/>
      <c r="V313" s="66"/>
      <c r="W313" s="66"/>
    </row>
    <row r="314" spans="1:24" s="29" customFormat="1" ht="15.75" customHeight="1" x14ac:dyDescent="0.25">
      <c r="A314"/>
      <c r="B314" s="56" t="s">
        <v>432</v>
      </c>
      <c r="C314" s="56" t="s">
        <v>475</v>
      </c>
      <c r="D314" s="56" t="s">
        <v>1621</v>
      </c>
      <c r="E314" s="56" t="s">
        <v>1622</v>
      </c>
      <c r="F314" s="56"/>
      <c r="G314" s="68">
        <v>0.83</v>
      </c>
      <c r="H314" s="68"/>
      <c r="I314" s="69" t="s">
        <v>1645</v>
      </c>
      <c r="J314" s="69"/>
      <c r="K314" s="69"/>
      <c r="L314" s="69"/>
      <c r="M314" s="69"/>
      <c r="N314" s="69"/>
      <c r="O314" s="56"/>
      <c r="P314" s="56"/>
      <c r="Q314" s="56"/>
      <c r="R314" s="56"/>
      <c r="S314" s="56"/>
      <c r="T314" s="66"/>
      <c r="U314" s="66"/>
      <c r="V314" s="66"/>
      <c r="W314" s="66"/>
    </row>
    <row r="315" spans="1:24" s="29" customFormat="1" ht="15.75" customHeight="1" x14ac:dyDescent="0.25">
      <c r="A315"/>
      <c r="B315" s="56" t="s">
        <v>432</v>
      </c>
      <c r="C315" s="56" t="s">
        <v>475</v>
      </c>
      <c r="D315" s="56" t="s">
        <v>467</v>
      </c>
      <c r="E315" s="56" t="s">
        <v>468</v>
      </c>
      <c r="F315" s="56"/>
      <c r="G315" s="68">
        <v>60.5</v>
      </c>
      <c r="H315" s="68"/>
      <c r="I315" s="69" t="s">
        <v>1645</v>
      </c>
      <c r="J315" s="69"/>
      <c r="K315" s="69"/>
      <c r="L315" s="69" t="s">
        <v>508</v>
      </c>
      <c r="M315" s="69" t="s">
        <v>508</v>
      </c>
      <c r="N315" s="69" t="s">
        <v>508</v>
      </c>
      <c r="O315" s="56"/>
      <c r="P315" s="56"/>
      <c r="Q315" s="56"/>
      <c r="R315" s="56"/>
      <c r="S315" s="56"/>
      <c r="T315" s="66"/>
      <c r="U315" s="66"/>
      <c r="V315" s="66"/>
      <c r="W315" s="66"/>
    </row>
    <row r="316" spans="1:24" s="29" customFormat="1" ht="15.75" customHeight="1" x14ac:dyDescent="0.25">
      <c r="A316"/>
      <c r="B316" s="56" t="s">
        <v>432</v>
      </c>
      <c r="C316" s="56" t="s">
        <v>475</v>
      </c>
      <c r="D316" s="56" t="s">
        <v>469</v>
      </c>
      <c r="E316" s="56" t="s">
        <v>470</v>
      </c>
      <c r="F316" s="56"/>
      <c r="G316" s="68">
        <v>7.27</v>
      </c>
      <c r="H316" s="68"/>
      <c r="I316" s="69" t="s">
        <v>1645</v>
      </c>
      <c r="J316" s="69"/>
      <c r="K316" s="69"/>
      <c r="L316" s="69" t="s">
        <v>508</v>
      </c>
      <c r="M316" s="69" t="s">
        <v>508</v>
      </c>
      <c r="N316" s="69" t="s">
        <v>508</v>
      </c>
      <c r="O316" s="56"/>
      <c r="P316" s="56"/>
      <c r="Q316" s="56"/>
      <c r="R316" s="56"/>
      <c r="S316" s="56"/>
      <c r="T316" s="66"/>
      <c r="U316" s="66"/>
      <c r="V316" s="66"/>
      <c r="W316" s="66"/>
    </row>
    <row r="317" spans="1:24" s="29" customFormat="1" ht="15.75" customHeight="1" x14ac:dyDescent="0.25">
      <c r="A317"/>
      <c r="B317" s="56" t="s">
        <v>432</v>
      </c>
      <c r="C317" s="56" t="s">
        <v>475</v>
      </c>
      <c r="D317" s="56" t="s">
        <v>471</v>
      </c>
      <c r="E317" s="56" t="s">
        <v>472</v>
      </c>
      <c r="F317" s="56"/>
      <c r="G317" s="68">
        <v>168.32</v>
      </c>
      <c r="H317" s="68"/>
      <c r="I317" s="69" t="s">
        <v>1645</v>
      </c>
      <c r="J317" s="69"/>
      <c r="K317" s="69"/>
      <c r="L317" s="69" t="s">
        <v>508</v>
      </c>
      <c r="M317" s="69" t="s">
        <v>508</v>
      </c>
      <c r="N317" s="69" t="s">
        <v>508</v>
      </c>
      <c r="O317" s="56"/>
      <c r="P317" s="56"/>
      <c r="Q317" s="56"/>
      <c r="R317" s="56"/>
      <c r="S317" s="56"/>
      <c r="T317" s="66"/>
      <c r="U317" s="66"/>
      <c r="V317" s="66"/>
      <c r="W317" s="66"/>
    </row>
    <row r="318" spans="1:24" s="29" customFormat="1" ht="15.75" customHeight="1" x14ac:dyDescent="0.25">
      <c r="A318"/>
      <c r="B318" s="56" t="s">
        <v>432</v>
      </c>
      <c r="C318" s="56" t="s">
        <v>475</v>
      </c>
      <c r="D318" s="56" t="s">
        <v>473</v>
      </c>
      <c r="E318" s="56" t="s">
        <v>474</v>
      </c>
      <c r="F318" s="56"/>
      <c r="G318" s="68">
        <v>7.36</v>
      </c>
      <c r="H318" s="68"/>
      <c r="I318" s="69" t="s">
        <v>1645</v>
      </c>
      <c r="J318" s="69"/>
      <c r="K318" s="69"/>
      <c r="L318" s="69" t="s">
        <v>508</v>
      </c>
      <c r="M318" s="69" t="s">
        <v>508</v>
      </c>
      <c r="N318" s="69" t="s">
        <v>508</v>
      </c>
      <c r="O318" s="56"/>
      <c r="P318" s="56"/>
      <c r="Q318" s="56"/>
      <c r="R318" s="56"/>
      <c r="S318" s="56"/>
      <c r="T318" s="66"/>
      <c r="U318" s="66"/>
      <c r="V318" s="66"/>
      <c r="W318" s="66"/>
    </row>
    <row r="319" spans="1:24" s="29" customFormat="1" ht="15.75" customHeight="1" x14ac:dyDescent="0.25">
      <c r="A319"/>
      <c r="B319" s="56"/>
      <c r="C319" s="56"/>
      <c r="D319" s="56"/>
      <c r="E319" s="56"/>
      <c r="F319" s="56"/>
      <c r="G319" s="68"/>
      <c r="H319" s="68"/>
      <c r="I319" s="56"/>
      <c r="J319" s="56"/>
      <c r="K319" s="56"/>
      <c r="L319" s="69" t="s">
        <v>508</v>
      </c>
      <c r="M319" s="69" t="s">
        <v>508</v>
      </c>
      <c r="N319" s="69" t="s">
        <v>508</v>
      </c>
      <c r="O319" s="56"/>
      <c r="P319" s="56"/>
      <c r="Q319" s="56"/>
      <c r="R319" s="56"/>
      <c r="S319" s="56"/>
      <c r="T319" s="66"/>
      <c r="U319" s="66"/>
      <c r="V319" s="66"/>
      <c r="W319" s="66"/>
    </row>
    <row r="320" spans="1:24" ht="15.75" customHeight="1" thickBot="1" x14ac:dyDescent="0.3">
      <c r="B320" s="105"/>
      <c r="C320" s="105"/>
      <c r="D320" s="105"/>
      <c r="E320" s="105"/>
      <c r="F320" s="105"/>
      <c r="G320" s="106"/>
      <c r="H320" s="106"/>
      <c r="I320" s="105"/>
      <c r="J320" s="105"/>
      <c r="K320" s="105"/>
      <c r="L320" s="105"/>
      <c r="M320" s="105"/>
      <c r="N320" s="105"/>
      <c r="O320" s="105"/>
      <c r="P320" s="105"/>
      <c r="Q320" s="105"/>
      <c r="R320" s="105"/>
      <c r="S320" s="105"/>
      <c r="T320" s="107"/>
      <c r="U320" s="107"/>
      <c r="V320" s="107"/>
      <c r="W320" s="107"/>
      <c r="X320" s="5"/>
    </row>
    <row r="321" spans="7:23" ht="15.75" customHeight="1" thickTop="1" x14ac:dyDescent="0.25">
      <c r="G321" s="3"/>
      <c r="H321" s="3"/>
      <c r="T321" s="2"/>
      <c r="U321" s="2"/>
      <c r="V321" s="2"/>
      <c r="W321" s="2"/>
    </row>
  </sheetData>
  <mergeCells count="17">
    <mergeCell ref="W5:W6"/>
    <mergeCell ref="S5:S6"/>
    <mergeCell ref="I3:W4"/>
    <mergeCell ref="T5:T6"/>
    <mergeCell ref="U5:U6"/>
    <mergeCell ref="V5:V6"/>
    <mergeCell ref="I5:K5"/>
    <mergeCell ref="L5:N5"/>
    <mergeCell ref="O5:O6"/>
    <mergeCell ref="P5:P6"/>
    <mergeCell ref="Q5:Q6"/>
    <mergeCell ref="R5:R6"/>
    <mergeCell ref="B3:B6"/>
    <mergeCell ref="C3:C6"/>
    <mergeCell ref="D3:D6"/>
    <mergeCell ref="E3:E6"/>
    <mergeCell ref="G3:G6"/>
  </mergeCells>
  <pageMargins left="0.75" right="0.75" top="1" bottom="1" header="0.5" footer="0.5"/>
  <pageSetup paperSize="8" scale="4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2:X322"/>
  <sheetViews>
    <sheetView zoomScale="80" zoomScaleNormal="80" workbookViewId="0">
      <pane ySplit="7" topLeftCell="A143" activePane="bottomLeft" state="frozen"/>
      <selection activeCell="B3" sqref="B3:J27"/>
      <selection pane="bottomLeft" activeCell="S183" sqref="S183"/>
    </sheetView>
  </sheetViews>
  <sheetFormatPr defaultRowHeight="15.75" customHeight="1" x14ac:dyDescent="0.25"/>
  <cols>
    <col min="1" max="1" width="8.25" style="29" customWidth="1"/>
    <col min="2" max="2" width="11.125" style="89" customWidth="1"/>
    <col min="3" max="3" width="18.375" style="89" customWidth="1"/>
    <col min="4" max="4" width="7.375" style="89" customWidth="1"/>
    <col min="5" max="5" width="19.125" style="89" customWidth="1"/>
    <col min="6" max="6" width="3.5" style="89" customWidth="1"/>
    <col min="7" max="7" width="10.375" style="89" customWidth="1"/>
    <col min="8" max="8" width="9.625" style="89" customWidth="1"/>
    <col min="9" max="9" width="10.375" style="89" customWidth="1"/>
    <col min="10" max="10" width="9.875" style="89" customWidth="1"/>
    <col min="11" max="11" width="13.75" style="89" customWidth="1"/>
    <col min="12" max="12" width="12" style="89" customWidth="1"/>
    <col min="13" max="13" width="9.5" style="89" customWidth="1"/>
    <col min="14" max="14" width="18.25" style="89" customWidth="1"/>
    <col min="15" max="15" width="15.375" style="89" customWidth="1"/>
    <col min="16" max="16" width="12.875" style="89" customWidth="1"/>
    <col min="17" max="17" width="24" style="89" customWidth="1"/>
    <col min="18" max="18" width="23.125" style="108" customWidth="1"/>
    <col min="19" max="19" width="22.625" style="109" customWidth="1"/>
    <col min="20" max="20" width="11.5" style="89" bestFit="1" customWidth="1"/>
    <col min="24" max="24" width="12.5" bestFit="1" customWidth="1"/>
  </cols>
  <sheetData>
    <row r="2" spans="1:20" ht="15.75" customHeight="1" thickBot="1" x14ac:dyDescent="0.3"/>
    <row r="3" spans="1:20" ht="15.75" customHeight="1" thickTop="1" x14ac:dyDescent="0.25">
      <c r="B3" s="244" t="s">
        <v>476</v>
      </c>
      <c r="C3" s="247" t="s">
        <v>477</v>
      </c>
      <c r="D3" s="247" t="s">
        <v>478</v>
      </c>
      <c r="E3" s="250" t="s">
        <v>1631</v>
      </c>
      <c r="F3" s="65"/>
      <c r="G3" s="260" t="s">
        <v>572</v>
      </c>
      <c r="H3" s="261"/>
      <c r="I3" s="261"/>
      <c r="J3" s="261"/>
      <c r="K3" s="261"/>
      <c r="L3" s="261"/>
      <c r="M3" s="261"/>
      <c r="N3" s="261"/>
      <c r="O3" s="261"/>
      <c r="P3" s="261"/>
      <c r="Q3" s="261"/>
      <c r="R3" s="261"/>
      <c r="S3" s="262"/>
    </row>
    <row r="4" spans="1:20" ht="15.75" customHeight="1" x14ac:dyDescent="0.25">
      <c r="B4" s="245"/>
      <c r="C4" s="248"/>
      <c r="D4" s="248"/>
      <c r="E4" s="251"/>
      <c r="F4" s="65"/>
      <c r="G4" s="263"/>
      <c r="H4" s="264"/>
      <c r="I4" s="264"/>
      <c r="J4" s="264"/>
      <c r="K4" s="264"/>
      <c r="L4" s="264"/>
      <c r="M4" s="264"/>
      <c r="N4" s="264"/>
      <c r="O4" s="264"/>
      <c r="P4" s="264"/>
      <c r="Q4" s="264"/>
      <c r="R4" s="264"/>
      <c r="S4" s="265"/>
    </row>
    <row r="5" spans="1:20" ht="24" customHeight="1" x14ac:dyDescent="0.25">
      <c r="B5" s="245"/>
      <c r="C5" s="248"/>
      <c r="D5" s="248"/>
      <c r="E5" s="251"/>
      <c r="F5" s="65"/>
      <c r="G5" s="274" t="s">
        <v>485</v>
      </c>
      <c r="H5" s="275"/>
      <c r="I5" s="275"/>
      <c r="J5" s="258" t="s">
        <v>945</v>
      </c>
      <c r="K5" s="258" t="s">
        <v>687</v>
      </c>
      <c r="L5" s="258" t="s">
        <v>688</v>
      </c>
      <c r="M5" s="258" t="s">
        <v>689</v>
      </c>
      <c r="N5" s="258" t="s">
        <v>690</v>
      </c>
      <c r="O5" s="258" t="s">
        <v>791</v>
      </c>
      <c r="P5" s="272" t="s">
        <v>486</v>
      </c>
      <c r="Q5" s="266" t="s">
        <v>8</v>
      </c>
      <c r="R5" s="266" t="s">
        <v>505</v>
      </c>
      <c r="S5" s="256" t="s">
        <v>6</v>
      </c>
    </row>
    <row r="6" spans="1:20" ht="23.25" customHeight="1" thickBot="1" x14ac:dyDescent="0.3">
      <c r="B6" s="246"/>
      <c r="C6" s="249"/>
      <c r="D6" s="249"/>
      <c r="E6" s="252"/>
      <c r="F6" s="65"/>
      <c r="G6" s="33" t="s">
        <v>487</v>
      </c>
      <c r="H6" s="63" t="s">
        <v>488</v>
      </c>
      <c r="I6" s="63" t="s">
        <v>489</v>
      </c>
      <c r="J6" s="259"/>
      <c r="K6" s="259"/>
      <c r="L6" s="259"/>
      <c r="M6" s="259"/>
      <c r="N6" s="259"/>
      <c r="O6" s="259"/>
      <c r="P6" s="273"/>
      <c r="Q6" s="267"/>
      <c r="R6" s="267"/>
      <c r="S6" s="257"/>
    </row>
    <row r="7" spans="1:20" ht="15.75" customHeight="1" thickTop="1" x14ac:dyDescent="0.25"/>
    <row r="9" spans="1:20" s="29" customFormat="1" ht="15.75" customHeight="1" x14ac:dyDescent="0.25">
      <c r="B9" s="56"/>
      <c r="C9" s="56"/>
      <c r="D9" s="56"/>
      <c r="E9" s="56"/>
      <c r="F9" s="56"/>
      <c r="G9" s="56"/>
      <c r="H9" s="56"/>
      <c r="I9" s="56"/>
      <c r="J9" s="56"/>
      <c r="K9" s="56"/>
      <c r="L9" s="56"/>
      <c r="M9" s="56"/>
      <c r="N9" s="56"/>
      <c r="O9" s="56"/>
      <c r="P9" s="56"/>
      <c r="Q9" s="56"/>
      <c r="R9" s="110"/>
      <c r="S9" s="111"/>
      <c r="T9" s="56"/>
    </row>
    <row r="10" spans="1:20" s="29" customFormat="1" ht="15.75" customHeight="1" x14ac:dyDescent="0.25">
      <c r="A10" s="32"/>
      <c r="B10" s="56" t="s">
        <v>28</v>
      </c>
      <c r="C10" s="56" t="s">
        <v>1641</v>
      </c>
      <c r="D10" s="56" t="s">
        <v>41</v>
      </c>
      <c r="E10" s="56" t="s">
        <v>42</v>
      </c>
      <c r="F10" s="56"/>
      <c r="G10" s="102"/>
      <c r="H10" s="102">
        <v>10</v>
      </c>
      <c r="I10" s="102"/>
      <c r="J10" s="78">
        <v>2017</v>
      </c>
      <c r="K10" s="56" t="s">
        <v>721</v>
      </c>
      <c r="L10" s="56" t="s">
        <v>1355</v>
      </c>
      <c r="M10" s="56" t="s">
        <v>693</v>
      </c>
      <c r="N10" s="56" t="s">
        <v>1356</v>
      </c>
      <c r="O10" s="56" t="s">
        <v>1357</v>
      </c>
      <c r="P10" s="112" t="s">
        <v>15</v>
      </c>
      <c r="Q10" s="112" t="s">
        <v>1053</v>
      </c>
      <c r="R10" s="71" t="s">
        <v>1567</v>
      </c>
      <c r="S10" s="71" t="s">
        <v>1362</v>
      </c>
      <c r="T10" s="56"/>
    </row>
    <row r="11" spans="1:20" s="29" customFormat="1" ht="15.75" customHeight="1" x14ac:dyDescent="0.25">
      <c r="A11" s="32"/>
      <c r="B11" s="56" t="s">
        <v>28</v>
      </c>
      <c r="C11" s="56" t="s">
        <v>1641</v>
      </c>
      <c r="D11" s="56" t="s">
        <v>29</v>
      </c>
      <c r="E11" s="56" t="s">
        <v>30</v>
      </c>
      <c r="F11" s="56"/>
      <c r="G11" s="102"/>
      <c r="H11" s="102">
        <v>1.8</v>
      </c>
      <c r="I11" s="102"/>
      <c r="J11" s="56">
        <v>2017</v>
      </c>
      <c r="K11" s="56"/>
      <c r="L11" s="56"/>
      <c r="M11" s="56"/>
      <c r="N11" s="56"/>
      <c r="O11" s="56"/>
      <c r="P11" s="112" t="s">
        <v>528</v>
      </c>
      <c r="Q11" s="112"/>
      <c r="R11" s="71" t="s">
        <v>1568</v>
      </c>
      <c r="S11" s="71"/>
      <c r="T11" s="56"/>
    </row>
    <row r="12" spans="1:20" s="29" customFormat="1" ht="15.75" customHeight="1" x14ac:dyDescent="0.25">
      <c r="A12" s="32"/>
      <c r="B12" s="56" t="s">
        <v>28</v>
      </c>
      <c r="C12" s="56" t="s">
        <v>1641</v>
      </c>
      <c r="D12" s="56" t="s">
        <v>47</v>
      </c>
      <c r="E12" s="56" t="s">
        <v>48</v>
      </c>
      <c r="F12" s="56"/>
      <c r="G12" s="56">
        <v>4.5</v>
      </c>
      <c r="H12" s="102">
        <v>6</v>
      </c>
      <c r="I12" s="56">
        <v>7.4</v>
      </c>
      <c r="J12" s="56">
        <v>2015</v>
      </c>
      <c r="K12" s="56" t="s">
        <v>695</v>
      </c>
      <c r="L12" s="56" t="s">
        <v>696</v>
      </c>
      <c r="M12" s="56" t="s">
        <v>693</v>
      </c>
      <c r="N12" s="56" t="s">
        <v>988</v>
      </c>
      <c r="O12" s="56" t="s">
        <v>989</v>
      </c>
      <c r="P12" s="56" t="s">
        <v>633</v>
      </c>
      <c r="Q12" s="56" t="s">
        <v>845</v>
      </c>
      <c r="R12" s="71" t="s">
        <v>990</v>
      </c>
      <c r="S12" s="111"/>
      <c r="T12" s="56"/>
    </row>
    <row r="13" spans="1:20" s="29" customFormat="1" ht="15.75" customHeight="1" x14ac:dyDescent="0.25">
      <c r="A13" s="32"/>
      <c r="B13" s="56" t="s">
        <v>28</v>
      </c>
      <c r="C13" s="56" t="s">
        <v>1641</v>
      </c>
      <c r="D13" s="56" t="s">
        <v>52</v>
      </c>
      <c r="E13" s="56" t="s">
        <v>53</v>
      </c>
      <c r="F13" s="56"/>
      <c r="G13" s="102"/>
      <c r="H13" s="102">
        <v>45</v>
      </c>
      <c r="I13" s="102"/>
      <c r="J13" s="78">
        <v>2017</v>
      </c>
      <c r="K13" s="56" t="s">
        <v>721</v>
      </c>
      <c r="L13" s="56" t="s">
        <v>1359</v>
      </c>
      <c r="M13" s="56" t="s">
        <v>693</v>
      </c>
      <c r="N13" s="56" t="s">
        <v>1360</v>
      </c>
      <c r="O13" s="56" t="s">
        <v>1361</v>
      </c>
      <c r="P13" s="112" t="s">
        <v>15</v>
      </c>
      <c r="Q13" s="112" t="s">
        <v>1053</v>
      </c>
      <c r="R13" s="71" t="s">
        <v>1567</v>
      </c>
      <c r="S13" s="71" t="s">
        <v>1364</v>
      </c>
      <c r="T13" s="56"/>
    </row>
    <row r="14" spans="1:20" s="29" customFormat="1" ht="15.75" customHeight="1" x14ac:dyDescent="0.25">
      <c r="B14" s="56" t="s">
        <v>28</v>
      </c>
      <c r="C14" s="56" t="s">
        <v>1641</v>
      </c>
      <c r="D14" s="56" t="s">
        <v>31</v>
      </c>
      <c r="E14" s="56" t="s">
        <v>32</v>
      </c>
      <c r="F14" s="56"/>
      <c r="G14" s="102">
        <v>14.5</v>
      </c>
      <c r="H14" s="56"/>
      <c r="I14" s="102">
        <v>20.5</v>
      </c>
      <c r="J14" s="56">
        <v>2012</v>
      </c>
      <c r="K14" s="56" t="s">
        <v>702</v>
      </c>
      <c r="L14" s="56" t="s">
        <v>692</v>
      </c>
      <c r="M14" s="56" t="s">
        <v>693</v>
      </c>
      <c r="N14" s="56" t="s">
        <v>1315</v>
      </c>
      <c r="O14" s="70" t="s">
        <v>1314</v>
      </c>
      <c r="P14" s="112" t="s">
        <v>15</v>
      </c>
      <c r="Q14" s="112" t="s">
        <v>845</v>
      </c>
      <c r="R14" s="71" t="s">
        <v>1312</v>
      </c>
      <c r="S14" s="71" t="s">
        <v>1313</v>
      </c>
      <c r="T14" s="56"/>
    </row>
    <row r="15" spans="1:20" s="29" customFormat="1" ht="15.75" customHeight="1" x14ac:dyDescent="0.25">
      <c r="B15" s="56" t="s">
        <v>28</v>
      </c>
      <c r="C15" s="56" t="s">
        <v>1641</v>
      </c>
      <c r="D15" s="56" t="s">
        <v>33</v>
      </c>
      <c r="E15" s="56" t="s">
        <v>34</v>
      </c>
      <c r="F15" s="56"/>
      <c r="G15" s="56">
        <v>4</v>
      </c>
      <c r="H15" s="56">
        <v>8.4</v>
      </c>
      <c r="I15" s="56">
        <v>10.1</v>
      </c>
      <c r="J15" s="56">
        <v>2016</v>
      </c>
      <c r="K15" s="56" t="s">
        <v>695</v>
      </c>
      <c r="L15" s="56" t="s">
        <v>696</v>
      </c>
      <c r="M15" s="56" t="s">
        <v>693</v>
      </c>
      <c r="N15" s="56" t="s">
        <v>1296</v>
      </c>
      <c r="O15" s="56" t="s">
        <v>1295</v>
      </c>
      <c r="P15" s="112" t="s">
        <v>1294</v>
      </c>
      <c r="Q15" s="112" t="s">
        <v>845</v>
      </c>
      <c r="R15" s="71" t="s">
        <v>1293</v>
      </c>
      <c r="S15" s="71"/>
      <c r="T15" s="56"/>
    </row>
    <row r="16" spans="1:20" s="29" customFormat="1" ht="15.75" customHeight="1" x14ac:dyDescent="0.25">
      <c r="B16" s="56" t="s">
        <v>28</v>
      </c>
      <c r="C16" s="56" t="s">
        <v>1641</v>
      </c>
      <c r="D16" s="56" t="s">
        <v>35</v>
      </c>
      <c r="E16" s="56" t="s">
        <v>36</v>
      </c>
      <c r="F16" s="56"/>
      <c r="G16" s="56">
        <v>21.1</v>
      </c>
      <c r="H16" s="56">
        <v>32.4</v>
      </c>
      <c r="I16" s="56">
        <v>44</v>
      </c>
      <c r="J16" s="56">
        <v>2017</v>
      </c>
      <c r="K16" s="56"/>
      <c r="L16" s="56"/>
      <c r="M16" s="56" t="s">
        <v>693</v>
      </c>
      <c r="N16" s="56" t="s">
        <v>1386</v>
      </c>
      <c r="O16" s="56" t="s">
        <v>1389</v>
      </c>
      <c r="P16" s="66" t="s">
        <v>19</v>
      </c>
      <c r="Q16" s="113" t="s">
        <v>845</v>
      </c>
      <c r="R16" s="66" t="s">
        <v>1387</v>
      </c>
      <c r="S16" s="71"/>
      <c r="T16" s="56"/>
    </row>
    <row r="17" spans="1:22" s="29" customFormat="1" ht="15.75" customHeight="1" x14ac:dyDescent="0.25">
      <c r="B17" s="56" t="s">
        <v>28</v>
      </c>
      <c r="C17" s="56" t="s">
        <v>1641</v>
      </c>
      <c r="D17" s="56" t="s">
        <v>37</v>
      </c>
      <c r="E17" s="56" t="s">
        <v>38</v>
      </c>
      <c r="F17" s="56"/>
      <c r="G17" s="56"/>
      <c r="H17" s="56">
        <v>8.1</v>
      </c>
      <c r="I17" s="56"/>
      <c r="J17" s="56">
        <v>2017</v>
      </c>
      <c r="K17" s="56" t="s">
        <v>1391</v>
      </c>
      <c r="L17" s="56" t="s">
        <v>696</v>
      </c>
      <c r="M17" s="56" t="s">
        <v>693</v>
      </c>
      <c r="N17" s="56" t="s">
        <v>1152</v>
      </c>
      <c r="O17" s="111">
        <v>397</v>
      </c>
      <c r="P17" s="112" t="s">
        <v>1062</v>
      </c>
      <c r="Q17" s="112" t="s">
        <v>845</v>
      </c>
      <c r="R17" s="71" t="s">
        <v>1151</v>
      </c>
      <c r="S17" s="71"/>
      <c r="T17" s="56"/>
      <c r="U17" s="29" t="s">
        <v>508</v>
      </c>
      <c r="V17" s="29" t="s">
        <v>508</v>
      </c>
    </row>
    <row r="18" spans="1:22" s="29" customFormat="1" ht="15.75" customHeight="1" x14ac:dyDescent="0.25">
      <c r="B18" s="56" t="s">
        <v>28</v>
      </c>
      <c r="C18" s="56" t="s">
        <v>1641</v>
      </c>
      <c r="D18" s="56" t="s">
        <v>51</v>
      </c>
      <c r="E18" s="56" t="s">
        <v>494</v>
      </c>
      <c r="F18" s="56"/>
      <c r="G18" s="56">
        <v>22</v>
      </c>
      <c r="H18" s="56">
        <v>36</v>
      </c>
      <c r="I18" s="56">
        <v>43</v>
      </c>
      <c r="J18" s="56">
        <v>2014</v>
      </c>
      <c r="K18" s="56" t="s">
        <v>691</v>
      </c>
      <c r="L18" s="56"/>
      <c r="M18" s="56"/>
      <c r="N18" s="56" t="s">
        <v>697</v>
      </c>
      <c r="O18" s="56"/>
      <c r="P18" s="112" t="s">
        <v>682</v>
      </c>
      <c r="Q18" s="112" t="s">
        <v>847</v>
      </c>
      <c r="R18" s="71" t="s">
        <v>621</v>
      </c>
      <c r="S18" s="71" t="s">
        <v>897</v>
      </c>
      <c r="T18" s="56"/>
    </row>
    <row r="19" spans="1:22" s="29" customFormat="1" ht="15.75" customHeight="1" x14ac:dyDescent="0.25">
      <c r="B19" s="56"/>
      <c r="C19" s="56"/>
      <c r="D19" s="56"/>
      <c r="E19" s="56"/>
      <c r="F19" s="56"/>
      <c r="G19" s="56"/>
      <c r="H19" s="56"/>
      <c r="I19" s="56"/>
      <c r="J19" s="56"/>
      <c r="K19" s="56"/>
      <c r="L19" s="56"/>
      <c r="M19" s="56"/>
      <c r="N19" s="56"/>
      <c r="O19" s="56"/>
      <c r="P19" s="112"/>
      <c r="Q19" s="112"/>
      <c r="R19" s="71"/>
      <c r="S19" s="71"/>
      <c r="T19" s="56"/>
    </row>
    <row r="20" spans="1:22" s="29" customFormat="1" ht="15.75" customHeight="1" x14ac:dyDescent="0.25">
      <c r="B20" s="56"/>
      <c r="C20" s="56"/>
      <c r="D20" s="56"/>
      <c r="E20" s="56"/>
      <c r="F20" s="56"/>
      <c r="G20" s="56"/>
      <c r="H20" s="56"/>
      <c r="I20" s="56"/>
      <c r="J20" s="56"/>
      <c r="K20" s="56"/>
      <c r="L20" s="56"/>
      <c r="M20" s="56"/>
      <c r="N20" s="56"/>
      <c r="O20" s="56"/>
      <c r="P20" s="112"/>
      <c r="Q20" s="112"/>
      <c r="R20" s="71"/>
      <c r="S20" s="71"/>
      <c r="T20" s="56"/>
    </row>
    <row r="21" spans="1:22" s="29" customFormat="1" ht="15.75" customHeight="1" x14ac:dyDescent="0.25">
      <c r="B21" s="56" t="s">
        <v>28</v>
      </c>
      <c r="C21" s="56" t="s">
        <v>1641</v>
      </c>
      <c r="D21" s="56" t="s">
        <v>43</v>
      </c>
      <c r="E21" s="56" t="s">
        <v>44</v>
      </c>
      <c r="F21" s="56"/>
      <c r="G21" s="102"/>
      <c r="H21" s="69" t="s">
        <v>1645</v>
      </c>
      <c r="I21" s="102"/>
      <c r="J21" s="56" t="s">
        <v>491</v>
      </c>
      <c r="K21" s="56"/>
      <c r="L21" s="56"/>
      <c r="M21" s="56"/>
      <c r="N21" s="56"/>
      <c r="O21" s="56"/>
      <c r="P21" s="112" t="s">
        <v>491</v>
      </c>
      <c r="Q21" s="112"/>
      <c r="R21" s="71"/>
      <c r="S21" s="71"/>
      <c r="T21" s="56"/>
    </row>
    <row r="22" spans="1:22" s="29" customFormat="1" ht="15.75" customHeight="1" x14ac:dyDescent="0.25">
      <c r="B22" s="56" t="s">
        <v>28</v>
      </c>
      <c r="C22" s="56" t="s">
        <v>1641</v>
      </c>
      <c r="D22" s="56" t="s">
        <v>45</v>
      </c>
      <c r="E22" s="56" t="s">
        <v>46</v>
      </c>
      <c r="F22" s="56"/>
      <c r="G22" s="102"/>
      <c r="H22" s="69" t="s">
        <v>1645</v>
      </c>
      <c r="I22" s="102"/>
      <c r="J22" s="56" t="s">
        <v>491</v>
      </c>
      <c r="K22" s="56"/>
      <c r="L22" s="56"/>
      <c r="M22" s="56"/>
      <c r="N22" s="56"/>
      <c r="O22" s="56"/>
      <c r="P22" s="112" t="s">
        <v>491</v>
      </c>
      <c r="Q22" s="112"/>
      <c r="R22" s="71"/>
      <c r="S22" s="71"/>
      <c r="T22" s="56"/>
    </row>
    <row r="23" spans="1:22" s="29" customFormat="1" ht="15.75" customHeight="1" x14ac:dyDescent="0.25">
      <c r="B23" s="56" t="s">
        <v>28</v>
      </c>
      <c r="C23" s="56" t="s">
        <v>1641</v>
      </c>
      <c r="D23" s="56" t="s">
        <v>1612</v>
      </c>
      <c r="E23" s="56" t="s">
        <v>493</v>
      </c>
      <c r="F23" s="56"/>
      <c r="G23" s="102"/>
      <c r="H23" s="69" t="s">
        <v>1645</v>
      </c>
      <c r="I23" s="102"/>
      <c r="J23" s="56"/>
      <c r="K23" s="56"/>
      <c r="L23" s="56"/>
      <c r="M23" s="56"/>
      <c r="N23" s="56"/>
      <c r="O23" s="56"/>
      <c r="P23" s="112"/>
      <c r="Q23" s="112"/>
      <c r="R23" s="71"/>
      <c r="S23" s="71"/>
      <c r="T23" s="56"/>
    </row>
    <row r="24" spans="1:22" s="29" customFormat="1" ht="15.75" customHeight="1" x14ac:dyDescent="0.25">
      <c r="B24" s="56" t="s">
        <v>28</v>
      </c>
      <c r="C24" s="56" t="s">
        <v>1641</v>
      </c>
      <c r="D24" s="56" t="s">
        <v>49</v>
      </c>
      <c r="E24" s="56" t="s">
        <v>50</v>
      </c>
      <c r="F24" s="56"/>
      <c r="G24" s="102"/>
      <c r="H24" s="69" t="s">
        <v>1645</v>
      </c>
      <c r="I24" s="102"/>
      <c r="J24" s="56" t="s">
        <v>491</v>
      </c>
      <c r="K24" s="56"/>
      <c r="L24" s="56"/>
      <c r="M24" s="56"/>
      <c r="N24" s="56"/>
      <c r="O24" s="56"/>
      <c r="P24" s="112" t="s">
        <v>491</v>
      </c>
      <c r="Q24" s="112"/>
      <c r="R24" s="71"/>
      <c r="S24" s="71"/>
      <c r="T24" s="56"/>
    </row>
    <row r="25" spans="1:22" s="29" customFormat="1" ht="15.75" customHeight="1" x14ac:dyDescent="0.25">
      <c r="B25" s="56" t="s">
        <v>28</v>
      </c>
      <c r="C25" s="56" t="s">
        <v>1641</v>
      </c>
      <c r="D25" s="56" t="s">
        <v>39</v>
      </c>
      <c r="E25" s="56" t="s">
        <v>40</v>
      </c>
      <c r="F25" s="56"/>
      <c r="G25" s="102"/>
      <c r="H25" s="69" t="s">
        <v>1645</v>
      </c>
      <c r="I25" s="102"/>
      <c r="J25" s="56" t="s">
        <v>491</v>
      </c>
      <c r="K25" s="56"/>
      <c r="L25" s="56"/>
      <c r="M25" s="56"/>
      <c r="N25" s="56"/>
      <c r="O25" s="56"/>
      <c r="P25" s="112" t="s">
        <v>491</v>
      </c>
      <c r="Q25" s="112"/>
      <c r="R25" s="71"/>
      <c r="S25" s="71"/>
      <c r="T25" s="56"/>
    </row>
    <row r="26" spans="1:22" s="29" customFormat="1" ht="15.75" customHeight="1" x14ac:dyDescent="0.25">
      <c r="B26" s="56" t="s">
        <v>28</v>
      </c>
      <c r="C26" s="56" t="s">
        <v>1641</v>
      </c>
      <c r="D26" s="56" t="s">
        <v>949</v>
      </c>
      <c r="E26" s="56" t="s">
        <v>3</v>
      </c>
      <c r="F26" s="56"/>
      <c r="G26" s="102"/>
      <c r="H26" s="69" t="s">
        <v>1645</v>
      </c>
      <c r="I26" s="102"/>
      <c r="J26" s="56"/>
      <c r="K26" s="56"/>
      <c r="L26" s="56"/>
      <c r="M26" s="56"/>
      <c r="N26" s="56"/>
      <c r="O26" s="56"/>
      <c r="P26" s="112"/>
      <c r="Q26" s="112"/>
      <c r="R26" s="71"/>
      <c r="S26" s="71"/>
      <c r="T26" s="56"/>
    </row>
    <row r="27" spans="1:22" s="29" customFormat="1" ht="15.75" customHeight="1" x14ac:dyDescent="0.25">
      <c r="B27" s="56"/>
      <c r="C27" s="56"/>
      <c r="D27" s="56"/>
      <c r="E27" s="56"/>
      <c r="F27" s="56"/>
      <c r="G27" s="56"/>
      <c r="H27" s="56"/>
      <c r="I27" s="56"/>
      <c r="J27" s="56"/>
      <c r="K27" s="56"/>
      <c r="L27" s="56"/>
      <c r="M27" s="56"/>
      <c r="N27" s="56"/>
      <c r="O27" s="56"/>
      <c r="P27" s="112"/>
      <c r="Q27" s="112"/>
      <c r="R27" s="71"/>
      <c r="S27" s="71"/>
      <c r="T27" s="56"/>
    </row>
    <row r="28" spans="1:22" s="29" customFormat="1" ht="15.75" customHeight="1" thickBot="1" x14ac:dyDescent="0.3">
      <c r="B28" s="56"/>
      <c r="C28" s="56"/>
      <c r="D28" s="56"/>
      <c r="E28" s="56"/>
      <c r="F28" s="56"/>
      <c r="G28" s="56"/>
      <c r="H28" s="56"/>
      <c r="I28" s="56"/>
      <c r="J28" s="56"/>
      <c r="K28" s="72"/>
      <c r="L28" s="72"/>
      <c r="M28" s="72"/>
      <c r="N28" s="72"/>
      <c r="O28" s="72"/>
      <c r="P28" s="114"/>
      <c r="Q28" s="114"/>
      <c r="R28" s="115"/>
      <c r="S28" s="115"/>
      <c r="T28" s="56"/>
    </row>
    <row r="29" spans="1:22" s="29" customFormat="1" ht="15.75" customHeight="1" thickTop="1" x14ac:dyDescent="0.25">
      <c r="B29" s="74"/>
      <c r="C29" s="74"/>
      <c r="D29" s="74"/>
      <c r="E29" s="74"/>
      <c r="F29" s="74"/>
      <c r="G29" s="74"/>
      <c r="H29" s="74"/>
      <c r="I29" s="74"/>
      <c r="J29" s="74"/>
      <c r="K29" s="56"/>
      <c r="L29" s="56"/>
      <c r="M29" s="56"/>
      <c r="N29" s="56"/>
      <c r="O29" s="56"/>
      <c r="P29" s="116"/>
      <c r="Q29" s="112"/>
      <c r="R29" s="71"/>
      <c r="S29" s="71"/>
      <c r="T29" s="56"/>
    </row>
    <row r="30" spans="1:22" s="29" customFormat="1" ht="15.75" customHeight="1" x14ac:dyDescent="0.25">
      <c r="B30" s="56" t="s">
        <v>28</v>
      </c>
      <c r="C30" s="56" t="s">
        <v>56</v>
      </c>
      <c r="D30" s="56" t="s">
        <v>57</v>
      </c>
      <c r="E30" s="56" t="s">
        <v>58</v>
      </c>
      <c r="F30" s="56"/>
      <c r="G30" s="56"/>
      <c r="H30" s="56">
        <v>0.9</v>
      </c>
      <c r="I30" s="56"/>
      <c r="J30" s="56">
        <v>2018</v>
      </c>
      <c r="K30" s="56"/>
      <c r="L30" s="56"/>
      <c r="M30" s="56"/>
      <c r="N30" s="56"/>
      <c r="O30" s="56"/>
      <c r="P30" s="112" t="s">
        <v>528</v>
      </c>
      <c r="Q30" s="112" t="s">
        <v>848</v>
      </c>
      <c r="R30" s="71" t="s">
        <v>1495</v>
      </c>
      <c r="S30" s="71"/>
      <c r="T30" s="56"/>
    </row>
    <row r="31" spans="1:22" s="29" customFormat="1" ht="15.75" customHeight="1" x14ac:dyDescent="0.25">
      <c r="A31" s="32"/>
      <c r="B31" s="56" t="s">
        <v>28</v>
      </c>
      <c r="C31" s="56" t="s">
        <v>56</v>
      </c>
      <c r="D31" s="56" t="s">
        <v>59</v>
      </c>
      <c r="E31" s="56" t="s">
        <v>60</v>
      </c>
      <c r="F31" s="56"/>
      <c r="G31" s="56">
        <v>3.9</v>
      </c>
      <c r="H31" s="56">
        <v>6.8</v>
      </c>
      <c r="I31" s="56">
        <v>10.8</v>
      </c>
      <c r="J31" s="56">
        <v>2010</v>
      </c>
      <c r="K31" s="56"/>
      <c r="L31" s="56"/>
      <c r="M31" s="56" t="s">
        <v>700</v>
      </c>
      <c r="N31" s="56" t="s">
        <v>792</v>
      </c>
      <c r="O31" s="56" t="s">
        <v>793</v>
      </c>
      <c r="P31" s="112" t="s">
        <v>479</v>
      </c>
      <c r="Q31" s="112" t="s">
        <v>845</v>
      </c>
      <c r="R31" s="71" t="s">
        <v>910</v>
      </c>
      <c r="S31" s="71" t="s">
        <v>864</v>
      </c>
      <c r="T31" s="56"/>
    </row>
    <row r="32" spans="1:22" s="29" customFormat="1" ht="15.75" customHeight="1" x14ac:dyDescent="0.25">
      <c r="B32" s="56" t="s">
        <v>28</v>
      </c>
      <c r="C32" s="56" t="s">
        <v>56</v>
      </c>
      <c r="D32" s="56" t="s">
        <v>63</v>
      </c>
      <c r="E32" s="56" t="s">
        <v>1</v>
      </c>
      <c r="F32" s="56"/>
      <c r="G32" s="56">
        <v>81.5</v>
      </c>
      <c r="H32" s="56">
        <v>87.1</v>
      </c>
      <c r="I32" s="56">
        <v>91.9</v>
      </c>
      <c r="J32" s="56">
        <v>2010</v>
      </c>
      <c r="K32" s="56" t="s">
        <v>713</v>
      </c>
      <c r="L32" s="56" t="s">
        <v>696</v>
      </c>
      <c r="M32" s="56" t="s">
        <v>693</v>
      </c>
      <c r="N32" s="56" t="s">
        <v>794</v>
      </c>
      <c r="O32" s="56" t="s">
        <v>795</v>
      </c>
      <c r="P32" s="112" t="s">
        <v>12</v>
      </c>
      <c r="Q32" s="112" t="s">
        <v>845</v>
      </c>
      <c r="R32" s="71" t="s">
        <v>556</v>
      </c>
      <c r="S32" s="71" t="s">
        <v>865</v>
      </c>
      <c r="T32" s="56"/>
    </row>
    <row r="33" spans="1:21" s="29" customFormat="1" ht="15.75" customHeight="1" x14ac:dyDescent="0.25">
      <c r="B33" s="56" t="s">
        <v>28</v>
      </c>
      <c r="C33" s="56" t="s">
        <v>56</v>
      </c>
      <c r="D33" s="56" t="s">
        <v>61</v>
      </c>
      <c r="E33" s="56" t="s">
        <v>62</v>
      </c>
      <c r="F33" s="56"/>
      <c r="G33" s="56"/>
      <c r="H33" s="56">
        <v>7.1</v>
      </c>
      <c r="I33" s="56"/>
      <c r="J33" s="56">
        <v>2017</v>
      </c>
      <c r="K33" s="56"/>
      <c r="L33" s="56"/>
      <c r="M33" s="56"/>
      <c r="N33" s="56"/>
      <c r="O33" s="56"/>
      <c r="P33" s="112" t="s">
        <v>528</v>
      </c>
      <c r="Q33" s="112" t="s">
        <v>846</v>
      </c>
      <c r="R33" s="71" t="s">
        <v>1502</v>
      </c>
      <c r="S33" s="71"/>
      <c r="T33" s="56"/>
    </row>
    <row r="34" spans="1:21" s="29" customFormat="1" ht="15.75" customHeight="1" x14ac:dyDescent="0.25">
      <c r="B34" s="56" t="s">
        <v>28</v>
      </c>
      <c r="C34" s="56" t="s">
        <v>56</v>
      </c>
      <c r="D34" s="56" t="s">
        <v>64</v>
      </c>
      <c r="E34" s="56" t="s">
        <v>65</v>
      </c>
      <c r="F34" s="56"/>
      <c r="G34" s="56"/>
      <c r="H34" s="56">
        <v>6</v>
      </c>
      <c r="I34" s="56"/>
      <c r="J34" s="56">
        <v>2017</v>
      </c>
      <c r="K34" s="56"/>
      <c r="L34" s="56"/>
      <c r="M34" s="56"/>
      <c r="N34" s="56"/>
      <c r="O34" s="56"/>
      <c r="P34" s="112" t="s">
        <v>528</v>
      </c>
      <c r="Q34" s="112" t="s">
        <v>849</v>
      </c>
      <c r="R34" s="71" t="s">
        <v>1503</v>
      </c>
      <c r="S34" s="71"/>
      <c r="T34" s="56"/>
      <c r="U34" s="29" t="s">
        <v>508</v>
      </c>
    </row>
    <row r="35" spans="1:21" s="29" customFormat="1" ht="15.75" customHeight="1" x14ac:dyDescent="0.25">
      <c r="B35" s="56"/>
      <c r="C35" s="56"/>
      <c r="D35" s="56"/>
      <c r="E35" s="56"/>
      <c r="F35" s="56"/>
      <c r="G35" s="56"/>
      <c r="H35" s="56"/>
      <c r="I35" s="56"/>
      <c r="J35" s="56"/>
      <c r="K35" s="56"/>
      <c r="L35" s="56"/>
      <c r="M35" s="56"/>
      <c r="N35" s="56"/>
      <c r="O35" s="56"/>
      <c r="P35" s="112"/>
      <c r="Q35" s="112"/>
      <c r="R35" s="71"/>
      <c r="S35" s="71"/>
      <c r="T35" s="56"/>
    </row>
    <row r="36" spans="1:21" s="29" customFormat="1" ht="15.75" customHeight="1" x14ac:dyDescent="0.25">
      <c r="B36" s="56"/>
      <c r="C36" s="56"/>
      <c r="D36" s="56"/>
      <c r="E36" s="56"/>
      <c r="F36" s="56"/>
      <c r="G36" s="56"/>
      <c r="H36" s="56"/>
      <c r="I36" s="56"/>
      <c r="J36" s="56"/>
      <c r="K36" s="56"/>
      <c r="L36" s="56"/>
      <c r="M36" s="56"/>
      <c r="N36" s="56"/>
      <c r="O36" s="56"/>
      <c r="P36" s="112"/>
      <c r="Q36" s="112"/>
      <c r="R36" s="71"/>
      <c r="S36" s="71"/>
      <c r="T36" s="56"/>
    </row>
    <row r="37" spans="1:21" s="29" customFormat="1" ht="15.75" customHeight="1" x14ac:dyDescent="0.25">
      <c r="B37" s="56"/>
      <c r="C37" s="56"/>
      <c r="D37" s="56"/>
      <c r="E37" s="56"/>
      <c r="F37" s="56"/>
      <c r="G37" s="56"/>
      <c r="H37" s="56"/>
      <c r="I37" s="56"/>
      <c r="J37" s="56"/>
      <c r="K37" s="56"/>
      <c r="L37" s="56"/>
      <c r="M37" s="56"/>
      <c r="N37" s="56"/>
      <c r="O37" s="56"/>
      <c r="P37" s="56"/>
      <c r="Q37" s="56"/>
      <c r="R37" s="110"/>
      <c r="S37" s="111"/>
      <c r="T37" s="56"/>
    </row>
    <row r="38" spans="1:21" s="29" customFormat="1" ht="15.75" customHeight="1" x14ac:dyDescent="0.25">
      <c r="B38" s="56" t="s">
        <v>28</v>
      </c>
      <c r="C38" s="56" t="s">
        <v>56</v>
      </c>
      <c r="D38" s="56" t="s">
        <v>66</v>
      </c>
      <c r="E38" s="56" t="s">
        <v>67</v>
      </c>
      <c r="F38" s="56"/>
      <c r="G38" s="102"/>
      <c r="H38" s="69" t="s">
        <v>1645</v>
      </c>
      <c r="I38" s="102"/>
      <c r="J38" s="56" t="s">
        <v>491</v>
      </c>
      <c r="K38" s="56"/>
      <c r="L38" s="56"/>
      <c r="M38" s="56"/>
      <c r="N38" s="56"/>
      <c r="O38" s="56"/>
      <c r="P38" s="112" t="s">
        <v>491</v>
      </c>
      <c r="Q38" s="112"/>
      <c r="R38" s="71"/>
      <c r="S38" s="71"/>
      <c r="T38" s="56"/>
    </row>
    <row r="39" spans="1:21" s="29" customFormat="1" ht="15.75" customHeight="1" x14ac:dyDescent="0.25">
      <c r="B39" s="56"/>
      <c r="C39" s="56"/>
      <c r="D39" s="56"/>
      <c r="E39" s="56"/>
      <c r="F39" s="56"/>
      <c r="G39" s="56"/>
      <c r="H39" s="56"/>
      <c r="I39" s="56"/>
      <c r="J39" s="56"/>
      <c r="K39" s="56"/>
      <c r="L39" s="56"/>
      <c r="M39" s="56"/>
      <c r="N39" s="56"/>
      <c r="O39" s="56"/>
      <c r="P39" s="56"/>
      <c r="Q39" s="56"/>
      <c r="R39" s="110"/>
      <c r="S39" s="111"/>
      <c r="T39" s="56"/>
    </row>
    <row r="40" spans="1:21" s="29" customFormat="1" ht="15.75" customHeight="1" thickBot="1" x14ac:dyDescent="0.3">
      <c r="B40" s="56"/>
      <c r="C40" s="56"/>
      <c r="D40" s="56"/>
      <c r="E40" s="56"/>
      <c r="F40" s="56"/>
      <c r="G40" s="56"/>
      <c r="H40" s="56"/>
      <c r="I40" s="56"/>
      <c r="J40" s="56"/>
      <c r="K40" s="72"/>
      <c r="L40" s="72"/>
      <c r="M40" s="72"/>
      <c r="N40" s="72"/>
      <c r="O40" s="72"/>
      <c r="P40" s="114"/>
      <c r="Q40" s="114"/>
      <c r="R40" s="115"/>
      <c r="S40" s="115"/>
      <c r="T40" s="56"/>
    </row>
    <row r="41" spans="1:21" s="29" customFormat="1" ht="15.75" customHeight="1" thickTop="1" x14ac:dyDescent="0.25">
      <c r="B41" s="74"/>
      <c r="C41" s="74"/>
      <c r="D41" s="74"/>
      <c r="E41" s="74"/>
      <c r="F41" s="74"/>
      <c r="G41" s="74"/>
      <c r="H41" s="74"/>
      <c r="I41" s="74"/>
      <c r="J41" s="74"/>
      <c r="K41" s="56"/>
      <c r="L41" s="56"/>
      <c r="M41" s="56"/>
      <c r="N41" s="56"/>
      <c r="O41" s="56"/>
      <c r="P41" s="116"/>
      <c r="Q41" s="112"/>
      <c r="R41" s="71"/>
      <c r="S41" s="71"/>
      <c r="T41" s="56"/>
    </row>
    <row r="42" spans="1:21" s="29" customFormat="1" ht="15.75" customHeight="1" x14ac:dyDescent="0.25">
      <c r="B42" s="56" t="s">
        <v>28</v>
      </c>
      <c r="C42" s="56" t="s">
        <v>1642</v>
      </c>
      <c r="D42" s="56" t="s">
        <v>84</v>
      </c>
      <c r="E42" s="56" t="s">
        <v>85</v>
      </c>
      <c r="F42" s="56"/>
      <c r="G42" s="56">
        <v>19.899999999999999</v>
      </c>
      <c r="H42" s="56"/>
      <c r="I42" s="56">
        <v>50.1</v>
      </c>
      <c r="J42" s="56">
        <v>2014</v>
      </c>
      <c r="K42" s="56" t="s">
        <v>702</v>
      </c>
      <c r="L42" s="56" t="s">
        <v>692</v>
      </c>
      <c r="M42" s="56" t="s">
        <v>693</v>
      </c>
      <c r="N42" s="56" t="s">
        <v>703</v>
      </c>
      <c r="O42" s="56" t="s">
        <v>1173</v>
      </c>
      <c r="P42" s="112" t="s">
        <v>623</v>
      </c>
      <c r="Q42" s="112" t="s">
        <v>845</v>
      </c>
      <c r="R42" s="71" t="s">
        <v>1169</v>
      </c>
      <c r="S42" s="71" t="s">
        <v>1170</v>
      </c>
      <c r="T42" s="56"/>
    </row>
    <row r="43" spans="1:21" s="29" customFormat="1" ht="15.75" customHeight="1" x14ac:dyDescent="0.25">
      <c r="A43" s="32"/>
      <c r="B43" s="56" t="s">
        <v>28</v>
      </c>
      <c r="C43" s="56" t="s">
        <v>1642</v>
      </c>
      <c r="D43" s="56" t="s">
        <v>70</v>
      </c>
      <c r="E43" s="56" t="s">
        <v>71</v>
      </c>
      <c r="F43" s="56"/>
      <c r="G43" s="56"/>
      <c r="H43" s="56">
        <v>21</v>
      </c>
      <c r="I43" s="56"/>
      <c r="J43" s="56">
        <v>2017</v>
      </c>
      <c r="K43" s="56" t="s">
        <v>691</v>
      </c>
      <c r="L43" s="56" t="s">
        <v>692</v>
      </c>
      <c r="M43" s="56" t="s">
        <v>693</v>
      </c>
      <c r="N43" s="56" t="s">
        <v>1322</v>
      </c>
      <c r="O43" s="56" t="s">
        <v>1323</v>
      </c>
      <c r="P43" s="112" t="s">
        <v>15</v>
      </c>
      <c r="Q43" s="112" t="s">
        <v>1370</v>
      </c>
      <c r="R43" s="113" t="s">
        <v>1369</v>
      </c>
      <c r="S43" s="113" t="s">
        <v>1368</v>
      </c>
      <c r="T43" s="56"/>
      <c r="U43" s="29" t="s">
        <v>508</v>
      </c>
    </row>
    <row r="44" spans="1:21" s="29" customFormat="1" ht="15.75" customHeight="1" x14ac:dyDescent="0.25">
      <c r="A44" s="32"/>
      <c r="B44" s="56"/>
      <c r="C44" s="56"/>
      <c r="D44" s="56"/>
      <c r="E44" s="56"/>
      <c r="F44" s="56"/>
      <c r="G44" s="56"/>
      <c r="H44" s="56"/>
      <c r="I44" s="56"/>
      <c r="J44" s="56"/>
      <c r="K44" s="56"/>
      <c r="L44" s="56"/>
      <c r="M44" s="56"/>
      <c r="N44" s="56"/>
      <c r="O44" s="56"/>
      <c r="P44" s="112"/>
      <c r="Q44" s="112"/>
      <c r="R44" s="113"/>
      <c r="S44" s="113"/>
      <c r="T44" s="56"/>
    </row>
    <row r="45" spans="1:21" s="29" customFormat="1" ht="15.75" customHeight="1" x14ac:dyDescent="0.25">
      <c r="A45" s="32"/>
      <c r="B45" s="56"/>
      <c r="C45" s="56"/>
      <c r="D45" s="56"/>
      <c r="E45" s="56"/>
      <c r="F45" s="56"/>
      <c r="G45" s="56"/>
      <c r="H45" s="56"/>
      <c r="I45" s="56"/>
      <c r="J45" s="56"/>
      <c r="K45" s="56"/>
      <c r="L45" s="56"/>
      <c r="M45" s="56"/>
      <c r="N45" s="56"/>
      <c r="O45" s="56"/>
      <c r="P45" s="112"/>
      <c r="Q45" s="112"/>
      <c r="R45" s="113"/>
      <c r="S45" s="113"/>
      <c r="T45" s="56"/>
    </row>
    <row r="46" spans="1:21" s="29" customFormat="1" ht="15.75" customHeight="1" x14ac:dyDescent="0.25">
      <c r="B46" s="56" t="s">
        <v>28</v>
      </c>
      <c r="C46" s="56" t="s">
        <v>1642</v>
      </c>
      <c r="D46" s="56" t="s">
        <v>76</v>
      </c>
      <c r="E46" s="56" t="s">
        <v>77</v>
      </c>
      <c r="F46" s="56"/>
      <c r="G46" s="102"/>
      <c r="H46" s="69" t="s">
        <v>1645</v>
      </c>
      <c r="I46" s="102"/>
      <c r="J46" s="56" t="s">
        <v>491</v>
      </c>
      <c r="K46" s="56"/>
      <c r="L46" s="56"/>
      <c r="M46" s="56"/>
      <c r="N46" s="56"/>
      <c r="O46" s="56"/>
      <c r="P46" s="112" t="s">
        <v>491</v>
      </c>
      <c r="Q46" s="112"/>
      <c r="R46" s="71"/>
      <c r="S46" s="71"/>
      <c r="T46" s="56"/>
    </row>
    <row r="47" spans="1:21" s="29" customFormat="1" ht="15.75" customHeight="1" x14ac:dyDescent="0.25">
      <c r="B47" s="56" t="s">
        <v>28</v>
      </c>
      <c r="C47" s="56" t="s">
        <v>1642</v>
      </c>
      <c r="D47" s="56" t="s">
        <v>78</v>
      </c>
      <c r="E47" s="56" t="s">
        <v>79</v>
      </c>
      <c r="F47" s="56"/>
      <c r="G47" s="102"/>
      <c r="H47" s="69" t="s">
        <v>1645</v>
      </c>
      <c r="I47" s="102"/>
      <c r="J47" s="56" t="s">
        <v>491</v>
      </c>
      <c r="K47" s="56"/>
      <c r="L47" s="56"/>
      <c r="M47" s="56"/>
      <c r="N47" s="56"/>
      <c r="O47" s="56"/>
      <c r="P47" s="112" t="s">
        <v>491</v>
      </c>
      <c r="Q47" s="112"/>
      <c r="R47" s="71"/>
      <c r="S47" s="71"/>
      <c r="T47" s="56"/>
    </row>
    <row r="48" spans="1:21" s="29" customFormat="1" ht="15.75" customHeight="1" x14ac:dyDescent="0.25">
      <c r="B48" s="56" t="s">
        <v>28</v>
      </c>
      <c r="C48" s="56" t="s">
        <v>1642</v>
      </c>
      <c r="D48" s="56" t="s">
        <v>80</v>
      </c>
      <c r="E48" s="56" t="s">
        <v>81</v>
      </c>
      <c r="F48" s="56"/>
      <c r="G48" s="102"/>
      <c r="H48" s="69" t="s">
        <v>1645</v>
      </c>
      <c r="I48" s="102"/>
      <c r="J48" s="56" t="s">
        <v>491</v>
      </c>
      <c r="K48" s="56"/>
      <c r="L48" s="56"/>
      <c r="M48" s="56"/>
      <c r="N48" s="56"/>
      <c r="O48" s="56"/>
      <c r="P48" s="112" t="s">
        <v>491</v>
      </c>
      <c r="Q48" s="112"/>
      <c r="R48" s="71"/>
      <c r="S48" s="71"/>
      <c r="T48" s="56"/>
    </row>
    <row r="49" spans="1:20" s="29" customFormat="1" ht="15.75" customHeight="1" x14ac:dyDescent="0.25">
      <c r="B49" s="56" t="s">
        <v>28</v>
      </c>
      <c r="C49" s="56" t="s">
        <v>1642</v>
      </c>
      <c r="D49" s="56" t="s">
        <v>82</v>
      </c>
      <c r="E49" s="56" t="s">
        <v>83</v>
      </c>
      <c r="F49" s="56"/>
      <c r="G49" s="102"/>
      <c r="H49" s="69" t="s">
        <v>1645</v>
      </c>
      <c r="I49" s="102"/>
      <c r="J49" s="56" t="s">
        <v>491</v>
      </c>
      <c r="K49" s="56"/>
      <c r="L49" s="56"/>
      <c r="M49" s="56"/>
      <c r="N49" s="56"/>
      <c r="O49" s="56"/>
      <c r="P49" s="112" t="s">
        <v>491</v>
      </c>
      <c r="Q49" s="112"/>
      <c r="R49" s="71"/>
      <c r="S49" s="71"/>
      <c r="T49" s="56"/>
    </row>
    <row r="50" spans="1:20" s="29" customFormat="1" ht="15.75" customHeight="1" x14ac:dyDescent="0.25">
      <c r="B50" s="56" t="s">
        <v>28</v>
      </c>
      <c r="C50" s="56" t="s">
        <v>1642</v>
      </c>
      <c r="D50" s="56" t="s">
        <v>68</v>
      </c>
      <c r="E50" s="56" t="s">
        <v>69</v>
      </c>
      <c r="F50" s="56"/>
      <c r="G50" s="102"/>
      <c r="H50" s="69" t="s">
        <v>1645</v>
      </c>
      <c r="I50" s="102"/>
      <c r="J50" s="56" t="s">
        <v>491</v>
      </c>
      <c r="K50" s="56"/>
      <c r="L50" s="56"/>
      <c r="M50" s="56"/>
      <c r="N50" s="56"/>
      <c r="O50" s="56"/>
      <c r="P50" s="112" t="s">
        <v>491</v>
      </c>
      <c r="Q50" s="112"/>
      <c r="R50" s="71"/>
      <c r="S50" s="71"/>
      <c r="T50" s="56"/>
    </row>
    <row r="51" spans="1:20" s="29" customFormat="1" ht="15.75" customHeight="1" x14ac:dyDescent="0.25">
      <c r="B51" s="56" t="s">
        <v>28</v>
      </c>
      <c r="C51" s="56" t="s">
        <v>1642</v>
      </c>
      <c r="D51" s="56" t="s">
        <v>54</v>
      </c>
      <c r="E51" s="56" t="s">
        <v>55</v>
      </c>
      <c r="F51" s="56"/>
      <c r="G51" s="102"/>
      <c r="H51" s="69" t="s">
        <v>1645</v>
      </c>
      <c r="I51" s="102"/>
      <c r="J51" s="56"/>
      <c r="K51" s="56"/>
      <c r="L51" s="56"/>
      <c r="M51" s="56"/>
      <c r="N51" s="56"/>
      <c r="O51" s="56"/>
      <c r="P51" s="112"/>
      <c r="Q51" s="112"/>
      <c r="R51" s="71"/>
      <c r="S51" s="71"/>
      <c r="T51" s="56"/>
    </row>
    <row r="52" spans="1:20" s="29" customFormat="1" ht="15.75" customHeight="1" x14ac:dyDescent="0.25">
      <c r="B52" s="56" t="s">
        <v>28</v>
      </c>
      <c r="C52" s="56" t="s">
        <v>1642</v>
      </c>
      <c r="D52" s="56" t="s">
        <v>86</v>
      </c>
      <c r="E52" s="56" t="s">
        <v>1609</v>
      </c>
      <c r="F52" s="56"/>
      <c r="G52" s="102"/>
      <c r="H52" s="69" t="s">
        <v>1645</v>
      </c>
      <c r="I52" s="102"/>
      <c r="J52" s="56" t="s">
        <v>491</v>
      </c>
      <c r="K52" s="56"/>
      <c r="L52" s="56"/>
      <c r="M52" s="56"/>
      <c r="N52" s="56"/>
      <c r="O52" s="56"/>
      <c r="P52" s="112" t="s">
        <v>491</v>
      </c>
      <c r="Q52" s="112"/>
      <c r="R52" s="71"/>
      <c r="S52" s="71"/>
      <c r="T52" s="56"/>
    </row>
    <row r="53" spans="1:20" s="29" customFormat="1" ht="15.75" customHeight="1" x14ac:dyDescent="0.25">
      <c r="B53" s="56" t="s">
        <v>28</v>
      </c>
      <c r="C53" s="56" t="s">
        <v>1642</v>
      </c>
      <c r="D53" s="56" t="s">
        <v>72</v>
      </c>
      <c r="E53" s="56" t="s">
        <v>73</v>
      </c>
      <c r="F53" s="56"/>
      <c r="G53" s="102"/>
      <c r="H53" s="69" t="s">
        <v>1645</v>
      </c>
      <c r="I53" s="102"/>
      <c r="J53" s="56" t="s">
        <v>491</v>
      </c>
      <c r="K53" s="56"/>
      <c r="L53" s="56"/>
      <c r="M53" s="56"/>
      <c r="N53" s="56"/>
      <c r="O53" s="56"/>
      <c r="P53" s="112" t="s">
        <v>491</v>
      </c>
      <c r="Q53" s="112"/>
      <c r="R53" s="71"/>
      <c r="S53" s="71"/>
      <c r="T53" s="56"/>
    </row>
    <row r="54" spans="1:20" s="29" customFormat="1" ht="15.75" customHeight="1" x14ac:dyDescent="0.25">
      <c r="B54" s="56" t="s">
        <v>28</v>
      </c>
      <c r="C54" s="56" t="s">
        <v>1642</v>
      </c>
      <c r="D54" s="56" t="s">
        <v>74</v>
      </c>
      <c r="E54" s="56" t="s">
        <v>75</v>
      </c>
      <c r="F54" s="56"/>
      <c r="G54" s="102"/>
      <c r="H54" s="69" t="s">
        <v>1645</v>
      </c>
      <c r="I54" s="102"/>
      <c r="J54" s="56" t="s">
        <v>491</v>
      </c>
      <c r="K54" s="56"/>
      <c r="L54" s="56"/>
      <c r="M54" s="56"/>
      <c r="N54" s="56"/>
      <c r="O54" s="56"/>
      <c r="P54" s="112" t="s">
        <v>491</v>
      </c>
      <c r="Q54" s="112"/>
      <c r="R54" s="71"/>
      <c r="S54" s="71"/>
      <c r="T54" s="56"/>
    </row>
    <row r="55" spans="1:20" s="29" customFormat="1" ht="15.75" customHeight="1" thickBot="1" x14ac:dyDescent="0.3">
      <c r="A55" s="32"/>
      <c r="B55" s="56"/>
      <c r="C55" s="56"/>
      <c r="D55" s="56"/>
      <c r="E55" s="56"/>
      <c r="F55" s="56"/>
      <c r="G55" s="56"/>
      <c r="H55" s="56"/>
      <c r="I55" s="56"/>
      <c r="J55" s="56"/>
      <c r="K55" s="56"/>
      <c r="L55" s="56"/>
      <c r="M55" s="56"/>
      <c r="N55" s="56"/>
      <c r="O55" s="56"/>
      <c r="P55" s="112"/>
      <c r="Q55" s="112"/>
      <c r="R55" s="113"/>
      <c r="S55" s="113"/>
      <c r="T55" s="56"/>
    </row>
    <row r="56" spans="1:20" s="29" customFormat="1" ht="15.75" customHeight="1" thickTop="1" x14ac:dyDescent="0.25">
      <c r="B56" s="74"/>
      <c r="C56" s="74"/>
      <c r="D56" s="74"/>
      <c r="E56" s="74"/>
      <c r="F56" s="74"/>
      <c r="G56" s="74"/>
      <c r="H56" s="74"/>
      <c r="I56" s="74"/>
      <c r="J56" s="74"/>
      <c r="K56" s="56"/>
      <c r="L56" s="56"/>
      <c r="M56" s="56"/>
      <c r="N56" s="56"/>
      <c r="O56" s="56"/>
      <c r="P56" s="116"/>
      <c r="Q56" s="112"/>
      <c r="R56" s="71"/>
      <c r="S56" s="71"/>
      <c r="T56" s="56"/>
    </row>
    <row r="57" spans="1:20" s="29" customFormat="1" ht="15.75" customHeight="1" x14ac:dyDescent="0.25">
      <c r="A57" s="32"/>
      <c r="B57" s="56"/>
      <c r="C57" s="56"/>
      <c r="D57" s="56"/>
      <c r="E57" s="56"/>
      <c r="F57" s="56"/>
      <c r="G57" s="56"/>
      <c r="H57" s="56"/>
      <c r="I57" s="56"/>
      <c r="J57" s="56"/>
      <c r="K57" s="56"/>
      <c r="L57" s="56"/>
      <c r="M57" s="56"/>
      <c r="N57" s="56"/>
      <c r="O57" s="56"/>
      <c r="P57" s="112"/>
      <c r="Q57" s="112"/>
      <c r="R57" s="113"/>
      <c r="S57" s="113"/>
      <c r="T57" s="56"/>
    </row>
    <row r="58" spans="1:20" s="29" customFormat="1" ht="15.75" customHeight="1" x14ac:dyDescent="0.25">
      <c r="A58" s="32"/>
      <c r="B58" s="56" t="s">
        <v>28</v>
      </c>
      <c r="C58" s="56" t="s">
        <v>87</v>
      </c>
      <c r="D58" s="56" t="s">
        <v>99</v>
      </c>
      <c r="E58" s="56" t="s">
        <v>100</v>
      </c>
      <c r="F58" s="56"/>
      <c r="G58" s="56"/>
      <c r="H58" s="56">
        <v>2.2000000000000002</v>
      </c>
      <c r="I58" s="56"/>
      <c r="J58" s="56">
        <v>2017</v>
      </c>
      <c r="K58" s="56"/>
      <c r="L58" s="56"/>
      <c r="M58" s="56"/>
      <c r="N58" s="56"/>
      <c r="O58" s="56">
        <v>496</v>
      </c>
      <c r="P58" s="66" t="s">
        <v>528</v>
      </c>
      <c r="Q58" s="112" t="s">
        <v>846</v>
      </c>
      <c r="R58" s="71" t="s">
        <v>1568</v>
      </c>
      <c r="S58" s="71"/>
      <c r="T58" s="56"/>
    </row>
    <row r="59" spans="1:20" s="29" customFormat="1" ht="15.75" customHeight="1" x14ac:dyDescent="0.25">
      <c r="B59" s="56" t="s">
        <v>28</v>
      </c>
      <c r="C59" s="56" t="s">
        <v>87</v>
      </c>
      <c r="D59" s="56" t="s">
        <v>90</v>
      </c>
      <c r="E59" s="56" t="s">
        <v>581</v>
      </c>
      <c r="F59" s="56"/>
      <c r="G59" s="56"/>
      <c r="H59" s="56">
        <v>20</v>
      </c>
      <c r="I59" s="56"/>
      <c r="J59" s="56">
        <v>2011</v>
      </c>
      <c r="K59" s="56"/>
      <c r="L59" s="56"/>
      <c r="M59" s="56"/>
      <c r="N59" s="56"/>
      <c r="O59" s="56">
        <v>15</v>
      </c>
      <c r="P59" s="112" t="s">
        <v>479</v>
      </c>
      <c r="Q59" s="112" t="s">
        <v>846</v>
      </c>
      <c r="R59" s="71" t="s">
        <v>528</v>
      </c>
      <c r="S59" s="71"/>
      <c r="T59" s="56"/>
    </row>
    <row r="60" spans="1:20" s="29" customFormat="1" ht="15.75" customHeight="1" x14ac:dyDescent="0.25">
      <c r="B60" s="56" t="s">
        <v>28</v>
      </c>
      <c r="C60" s="56" t="s">
        <v>87</v>
      </c>
      <c r="D60" s="56" t="s">
        <v>110</v>
      </c>
      <c r="E60" s="56" t="s">
        <v>495</v>
      </c>
      <c r="F60" s="56"/>
      <c r="G60" s="56"/>
      <c r="H60" s="56">
        <v>5.9</v>
      </c>
      <c r="I60" s="56"/>
      <c r="J60" s="56">
        <v>2016</v>
      </c>
      <c r="K60" s="56"/>
      <c r="L60" s="56"/>
      <c r="M60" s="56"/>
      <c r="N60" s="56"/>
      <c r="O60" s="56"/>
      <c r="P60" s="112" t="s">
        <v>972</v>
      </c>
      <c r="Q60" s="112" t="s">
        <v>973</v>
      </c>
      <c r="R60" s="71" t="s">
        <v>974</v>
      </c>
      <c r="S60" s="71" t="s">
        <v>1254</v>
      </c>
      <c r="T60" s="56"/>
    </row>
    <row r="61" spans="1:20" s="29" customFormat="1" ht="15.75" customHeight="1" x14ac:dyDescent="0.25">
      <c r="B61" s="56" t="s">
        <v>28</v>
      </c>
      <c r="C61" s="56" t="s">
        <v>87</v>
      </c>
      <c r="D61" s="56" t="s">
        <v>111</v>
      </c>
      <c r="E61" s="56" t="s">
        <v>112</v>
      </c>
      <c r="F61" s="56"/>
      <c r="G61" s="102">
        <v>0</v>
      </c>
      <c r="H61" s="56">
        <v>5.2</v>
      </c>
      <c r="I61" s="56">
        <v>11.2</v>
      </c>
      <c r="J61" s="56">
        <v>2014</v>
      </c>
      <c r="K61" s="56" t="s">
        <v>796</v>
      </c>
      <c r="L61" s="56" t="s">
        <v>692</v>
      </c>
      <c r="M61" s="56" t="s">
        <v>693</v>
      </c>
      <c r="N61" s="56" t="s">
        <v>705</v>
      </c>
      <c r="O61" s="56">
        <v>57</v>
      </c>
      <c r="P61" s="112" t="s">
        <v>15</v>
      </c>
      <c r="Q61" s="112" t="s">
        <v>845</v>
      </c>
      <c r="R61" s="71" t="s">
        <v>622</v>
      </c>
      <c r="S61" s="71"/>
      <c r="T61" s="56"/>
    </row>
    <row r="62" spans="1:20" s="29" customFormat="1" ht="15.75" customHeight="1" x14ac:dyDescent="0.25">
      <c r="B62" s="56" t="s">
        <v>28</v>
      </c>
      <c r="C62" s="56" t="s">
        <v>87</v>
      </c>
      <c r="D62" s="56" t="s">
        <v>119</v>
      </c>
      <c r="E62" s="56" t="s">
        <v>120</v>
      </c>
      <c r="F62" s="56"/>
      <c r="G62" s="56"/>
      <c r="H62" s="56">
        <v>0.69</v>
      </c>
      <c r="I62" s="56"/>
      <c r="J62" s="56">
        <v>2003</v>
      </c>
      <c r="K62" s="56"/>
      <c r="L62" s="56"/>
      <c r="M62" s="56"/>
      <c r="N62" s="56" t="s">
        <v>797</v>
      </c>
      <c r="O62" s="56"/>
      <c r="P62" s="112" t="s">
        <v>480</v>
      </c>
      <c r="Q62" s="112" t="s">
        <v>850</v>
      </c>
      <c r="R62" s="71" t="s">
        <v>1136</v>
      </c>
      <c r="S62" s="71" t="s">
        <v>866</v>
      </c>
      <c r="T62" s="56"/>
    </row>
    <row r="63" spans="1:20" s="29" customFormat="1" ht="15.75" customHeight="1" x14ac:dyDescent="0.25">
      <c r="B63" s="56" t="s">
        <v>28</v>
      </c>
      <c r="C63" s="56" t="s">
        <v>87</v>
      </c>
      <c r="D63" s="56" t="s">
        <v>91</v>
      </c>
      <c r="E63" s="56" t="s">
        <v>92</v>
      </c>
      <c r="F63" s="56"/>
      <c r="G63" s="56"/>
      <c r="H63" s="56">
        <v>3.9</v>
      </c>
      <c r="I63" s="56"/>
      <c r="J63" s="56">
        <v>2013</v>
      </c>
      <c r="K63" s="56"/>
      <c r="L63" s="56" t="s">
        <v>696</v>
      </c>
      <c r="M63" s="56" t="s">
        <v>693</v>
      </c>
      <c r="N63" s="56" t="s">
        <v>798</v>
      </c>
      <c r="O63" s="56">
        <v>155</v>
      </c>
      <c r="P63" s="112" t="s">
        <v>623</v>
      </c>
      <c r="Q63" s="112" t="s">
        <v>846</v>
      </c>
      <c r="R63" s="71" t="s">
        <v>624</v>
      </c>
      <c r="S63" s="71" t="s">
        <v>867</v>
      </c>
      <c r="T63" s="56"/>
    </row>
    <row r="64" spans="1:20" s="29" customFormat="1" ht="15.75" customHeight="1" x14ac:dyDescent="0.25">
      <c r="B64" s="56" t="s">
        <v>28</v>
      </c>
      <c r="C64" s="56" t="s">
        <v>87</v>
      </c>
      <c r="D64" s="56" t="s">
        <v>125</v>
      </c>
      <c r="E64" s="56" t="s">
        <v>126</v>
      </c>
      <c r="F64" s="56"/>
      <c r="G64" s="56"/>
      <c r="H64" s="56">
        <v>5.0999999999999996</v>
      </c>
      <c r="I64" s="56"/>
      <c r="J64" s="56">
        <v>2015</v>
      </c>
      <c r="K64" s="56" t="s">
        <v>796</v>
      </c>
      <c r="L64" s="56" t="s">
        <v>692</v>
      </c>
      <c r="M64" s="56" t="s">
        <v>693</v>
      </c>
      <c r="N64" s="56" t="s">
        <v>799</v>
      </c>
      <c r="O64" s="56">
        <v>39</v>
      </c>
      <c r="P64" s="112" t="s">
        <v>623</v>
      </c>
      <c r="Q64" s="112" t="s">
        <v>845</v>
      </c>
      <c r="R64" s="71" t="s">
        <v>675</v>
      </c>
      <c r="S64" s="71"/>
      <c r="T64" s="56"/>
    </row>
    <row r="65" spans="1:20" s="29" customFormat="1" ht="15.75" customHeight="1" x14ac:dyDescent="0.25">
      <c r="B65" s="56" t="s">
        <v>28</v>
      </c>
      <c r="C65" s="56" t="s">
        <v>87</v>
      </c>
      <c r="D65" s="56" t="s">
        <v>93</v>
      </c>
      <c r="E65" s="56" t="s">
        <v>94</v>
      </c>
      <c r="F65" s="56"/>
      <c r="G65" s="56">
        <v>2.8</v>
      </c>
      <c r="H65" s="56">
        <v>3.4</v>
      </c>
      <c r="I65" s="56">
        <v>4.0999999999999996</v>
      </c>
      <c r="J65" s="56">
        <v>2014</v>
      </c>
      <c r="K65" s="56" t="s">
        <v>691</v>
      </c>
      <c r="L65" s="56" t="s">
        <v>696</v>
      </c>
      <c r="M65" s="56" t="s">
        <v>693</v>
      </c>
      <c r="N65" s="56" t="s">
        <v>800</v>
      </c>
      <c r="O65" s="56" t="s">
        <v>801</v>
      </c>
      <c r="P65" s="112" t="s">
        <v>623</v>
      </c>
      <c r="Q65" s="112" t="s">
        <v>845</v>
      </c>
      <c r="R65" s="71" t="s">
        <v>659</v>
      </c>
      <c r="S65" s="71"/>
      <c r="T65" s="56"/>
    </row>
    <row r="66" spans="1:20" s="29" customFormat="1" ht="15.75" customHeight="1" x14ac:dyDescent="0.25">
      <c r="A66" s="32"/>
      <c r="B66" s="56" t="s">
        <v>28</v>
      </c>
      <c r="C66" s="56" t="s">
        <v>87</v>
      </c>
      <c r="D66" s="56" t="s">
        <v>135</v>
      </c>
      <c r="E66" s="56" t="s">
        <v>136</v>
      </c>
      <c r="F66" s="56"/>
      <c r="G66" s="56"/>
      <c r="H66" s="56">
        <v>9.4</v>
      </c>
      <c r="I66" s="56"/>
      <c r="J66" s="56">
        <v>2011</v>
      </c>
      <c r="K66" s="56" t="s">
        <v>702</v>
      </c>
      <c r="L66" s="56" t="s">
        <v>692</v>
      </c>
      <c r="M66" s="56" t="s">
        <v>693</v>
      </c>
      <c r="N66" s="56" t="s">
        <v>707</v>
      </c>
      <c r="O66" s="56">
        <v>140</v>
      </c>
      <c r="P66" s="112" t="s">
        <v>15</v>
      </c>
      <c r="Q66" s="112" t="s">
        <v>849</v>
      </c>
      <c r="R66" s="71" t="s">
        <v>685</v>
      </c>
      <c r="S66" s="71" t="s">
        <v>868</v>
      </c>
      <c r="T66" s="56"/>
    </row>
    <row r="67" spans="1:20" s="29" customFormat="1" ht="15.75" customHeight="1" x14ac:dyDescent="0.25">
      <c r="B67" s="56" t="s">
        <v>28</v>
      </c>
      <c r="C67" s="56" t="s">
        <v>87</v>
      </c>
      <c r="D67" s="56" t="s">
        <v>95</v>
      </c>
      <c r="E67" s="56" t="s">
        <v>96</v>
      </c>
      <c r="F67" s="56"/>
      <c r="G67" s="56"/>
      <c r="H67" s="56">
        <v>8.5</v>
      </c>
      <c r="I67" s="56"/>
      <c r="J67" s="56">
        <v>2015</v>
      </c>
      <c r="K67" s="56"/>
      <c r="L67" s="56"/>
      <c r="M67" s="56" t="s">
        <v>693</v>
      </c>
      <c r="N67" s="56" t="s">
        <v>971</v>
      </c>
      <c r="O67" s="56">
        <v>258</v>
      </c>
      <c r="P67" s="112" t="s">
        <v>968</v>
      </c>
      <c r="Q67" s="112" t="s">
        <v>969</v>
      </c>
      <c r="R67" s="71" t="s">
        <v>970</v>
      </c>
      <c r="S67" s="71"/>
      <c r="T67" s="56"/>
    </row>
    <row r="68" spans="1:20" s="29" customFormat="1" ht="15.75" customHeight="1" x14ac:dyDescent="0.25">
      <c r="B68" s="56" t="s">
        <v>28</v>
      </c>
      <c r="C68" s="56" t="s">
        <v>87</v>
      </c>
      <c r="D68" s="56" t="s">
        <v>97</v>
      </c>
      <c r="E68" s="56" t="s">
        <v>98</v>
      </c>
      <c r="F68" s="56"/>
      <c r="G68" s="56"/>
      <c r="H68" s="102">
        <v>3.9</v>
      </c>
      <c r="I68" s="56"/>
      <c r="J68" s="56">
        <v>2017</v>
      </c>
      <c r="K68" s="56"/>
      <c r="L68" s="56" t="s">
        <v>692</v>
      </c>
      <c r="M68" s="56" t="s">
        <v>693</v>
      </c>
      <c r="N68" s="56" t="s">
        <v>1256</v>
      </c>
      <c r="O68" s="56">
        <v>77</v>
      </c>
      <c r="P68" s="112" t="s">
        <v>633</v>
      </c>
      <c r="Q68" s="112" t="s">
        <v>856</v>
      </c>
      <c r="R68" s="71" t="s">
        <v>1255</v>
      </c>
      <c r="S68" s="71"/>
      <c r="T68" s="56"/>
    </row>
    <row r="69" spans="1:20" s="29" customFormat="1" ht="15.75" customHeight="1" x14ac:dyDescent="0.25">
      <c r="B69" s="56"/>
      <c r="C69" s="56"/>
      <c r="D69" s="56"/>
      <c r="E69" s="56"/>
      <c r="F69" s="56"/>
      <c r="G69" s="56"/>
      <c r="H69" s="56"/>
      <c r="I69" s="56"/>
      <c r="J69" s="56"/>
      <c r="K69" s="56"/>
      <c r="L69" s="56"/>
      <c r="M69" s="56"/>
      <c r="N69" s="56"/>
      <c r="O69" s="56"/>
      <c r="P69" s="112"/>
      <c r="Q69" s="112"/>
      <c r="R69" s="71"/>
      <c r="S69" s="71"/>
      <c r="T69" s="56"/>
    </row>
    <row r="70" spans="1:20" s="29" customFormat="1" ht="15.75" customHeight="1" x14ac:dyDescent="0.25">
      <c r="B70" s="56"/>
      <c r="C70" s="56"/>
      <c r="D70" s="56"/>
      <c r="E70" s="56"/>
      <c r="F70" s="56"/>
      <c r="G70" s="56"/>
      <c r="H70" s="56"/>
      <c r="I70" s="56"/>
      <c r="J70" s="56"/>
      <c r="K70" s="56"/>
      <c r="L70" s="56"/>
      <c r="M70" s="56"/>
      <c r="N70" s="56"/>
      <c r="O70" s="56"/>
      <c r="P70" s="112"/>
      <c r="Q70" s="112"/>
      <c r="R70" s="71"/>
      <c r="S70" s="71"/>
      <c r="T70" s="56"/>
    </row>
    <row r="71" spans="1:20" s="29" customFormat="1" ht="15.75" customHeight="1" x14ac:dyDescent="0.25">
      <c r="B71" s="56" t="s">
        <v>28</v>
      </c>
      <c r="C71" s="56" t="s">
        <v>87</v>
      </c>
      <c r="D71" s="56" t="s">
        <v>88</v>
      </c>
      <c r="E71" s="56" t="s">
        <v>89</v>
      </c>
      <c r="F71" s="56"/>
      <c r="G71" s="102"/>
      <c r="H71" s="69" t="s">
        <v>1645</v>
      </c>
      <c r="I71" s="102"/>
      <c r="J71" s="56" t="s">
        <v>491</v>
      </c>
      <c r="K71" s="56"/>
      <c r="L71" s="56"/>
      <c r="M71" s="56"/>
      <c r="N71" s="56"/>
      <c r="O71" s="56"/>
      <c r="P71" s="112" t="s">
        <v>491</v>
      </c>
      <c r="Q71" s="112"/>
      <c r="R71" s="71"/>
      <c r="S71" s="71"/>
      <c r="T71" s="56"/>
    </row>
    <row r="72" spans="1:20" s="29" customFormat="1" ht="15.75" customHeight="1" x14ac:dyDescent="0.25">
      <c r="B72" s="56" t="s">
        <v>28</v>
      </c>
      <c r="C72" s="56" t="s">
        <v>87</v>
      </c>
      <c r="D72" s="56" t="s">
        <v>102</v>
      </c>
      <c r="E72" s="56" t="s">
        <v>103</v>
      </c>
      <c r="F72" s="56"/>
      <c r="G72" s="102"/>
      <c r="H72" s="69" t="s">
        <v>1645</v>
      </c>
      <c r="I72" s="102"/>
      <c r="J72" s="56" t="s">
        <v>491</v>
      </c>
      <c r="K72" s="56"/>
      <c r="L72" s="56"/>
      <c r="M72" s="56"/>
      <c r="N72" s="56"/>
      <c r="O72" s="56"/>
      <c r="P72" s="112" t="s">
        <v>491</v>
      </c>
      <c r="Q72" s="112"/>
      <c r="R72" s="71"/>
      <c r="S72" s="71"/>
      <c r="T72" s="56"/>
    </row>
    <row r="73" spans="1:20" s="29" customFormat="1" ht="15.75" customHeight="1" x14ac:dyDescent="0.25">
      <c r="B73" s="56" t="s">
        <v>28</v>
      </c>
      <c r="C73" s="56" t="s">
        <v>87</v>
      </c>
      <c r="D73" s="56" t="s">
        <v>104</v>
      </c>
      <c r="E73" s="56" t="s">
        <v>105</v>
      </c>
      <c r="F73" s="56"/>
      <c r="G73" s="102"/>
      <c r="H73" s="69" t="s">
        <v>1645</v>
      </c>
      <c r="I73" s="102"/>
      <c r="J73" s="56" t="s">
        <v>491</v>
      </c>
      <c r="K73" s="56"/>
      <c r="L73" s="56"/>
      <c r="M73" s="56"/>
      <c r="N73" s="56"/>
      <c r="O73" s="56"/>
      <c r="P73" s="112" t="s">
        <v>491</v>
      </c>
      <c r="Q73" s="112"/>
      <c r="R73" s="71"/>
      <c r="S73" s="71"/>
      <c r="T73" s="56"/>
    </row>
    <row r="74" spans="1:20" s="29" customFormat="1" ht="15.75" customHeight="1" x14ac:dyDescent="0.25">
      <c r="B74" s="56" t="s">
        <v>28</v>
      </c>
      <c r="C74" s="56" t="s">
        <v>87</v>
      </c>
      <c r="D74" s="56" t="s">
        <v>106</v>
      </c>
      <c r="E74" s="56" t="s">
        <v>107</v>
      </c>
      <c r="F74" s="56"/>
      <c r="G74" s="102"/>
      <c r="H74" s="69" t="s">
        <v>1645</v>
      </c>
      <c r="I74" s="102"/>
      <c r="J74" s="56" t="s">
        <v>491</v>
      </c>
      <c r="K74" s="56"/>
      <c r="L74" s="56"/>
      <c r="M74" s="56"/>
      <c r="N74" s="56"/>
      <c r="O74" s="56"/>
      <c r="P74" s="112" t="s">
        <v>491</v>
      </c>
      <c r="Q74" s="112"/>
      <c r="R74" s="71"/>
      <c r="S74" s="71"/>
      <c r="T74" s="56"/>
    </row>
    <row r="75" spans="1:20" s="29" customFormat="1" ht="15.75" customHeight="1" x14ac:dyDescent="0.25">
      <c r="B75" s="56" t="s">
        <v>28</v>
      </c>
      <c r="C75" s="56" t="s">
        <v>87</v>
      </c>
      <c r="D75" s="56" t="s">
        <v>108</v>
      </c>
      <c r="E75" s="56" t="s">
        <v>109</v>
      </c>
      <c r="F75" s="56"/>
      <c r="G75" s="102"/>
      <c r="H75" s="69" t="s">
        <v>1645</v>
      </c>
      <c r="I75" s="102"/>
      <c r="J75" s="56" t="s">
        <v>491</v>
      </c>
      <c r="K75" s="56"/>
      <c r="L75" s="56"/>
      <c r="M75" s="56"/>
      <c r="N75" s="56"/>
      <c r="O75" s="56"/>
      <c r="P75" s="112" t="s">
        <v>491</v>
      </c>
      <c r="Q75" s="112"/>
      <c r="R75" s="71"/>
      <c r="S75" s="71"/>
      <c r="T75" s="56"/>
    </row>
    <row r="76" spans="1:20" s="29" customFormat="1" ht="15.75" customHeight="1" x14ac:dyDescent="0.25">
      <c r="B76" s="56" t="s">
        <v>28</v>
      </c>
      <c r="C76" s="56" t="s">
        <v>87</v>
      </c>
      <c r="D76" s="56" t="s">
        <v>113</v>
      </c>
      <c r="E76" s="56" t="s">
        <v>114</v>
      </c>
      <c r="F76" s="56"/>
      <c r="G76" s="102"/>
      <c r="H76" s="69" t="s">
        <v>1645</v>
      </c>
      <c r="I76" s="102"/>
      <c r="J76" s="56" t="s">
        <v>491</v>
      </c>
      <c r="K76" s="56"/>
      <c r="L76" s="56"/>
      <c r="M76" s="56"/>
      <c r="N76" s="56"/>
      <c r="O76" s="56"/>
      <c r="P76" s="112" t="s">
        <v>491</v>
      </c>
      <c r="Q76" s="112"/>
      <c r="R76" s="71"/>
      <c r="S76" s="71"/>
      <c r="T76" s="56"/>
    </row>
    <row r="77" spans="1:20" s="29" customFormat="1" ht="15.75" customHeight="1" x14ac:dyDescent="0.25">
      <c r="B77" s="56" t="s">
        <v>28</v>
      </c>
      <c r="C77" s="56" t="s">
        <v>87</v>
      </c>
      <c r="D77" s="56" t="s">
        <v>115</v>
      </c>
      <c r="E77" s="56" t="s">
        <v>116</v>
      </c>
      <c r="F77" s="56"/>
      <c r="G77" s="102"/>
      <c r="H77" s="69" t="s">
        <v>1645</v>
      </c>
      <c r="I77" s="102"/>
      <c r="J77" s="56" t="s">
        <v>491</v>
      </c>
      <c r="K77" s="56"/>
      <c r="L77" s="56"/>
      <c r="M77" s="56"/>
      <c r="N77" s="56"/>
      <c r="O77" s="56"/>
      <c r="P77" s="112" t="s">
        <v>491</v>
      </c>
      <c r="Q77" s="112"/>
      <c r="R77" s="71"/>
      <c r="S77" s="71"/>
      <c r="T77" s="56"/>
    </row>
    <row r="78" spans="1:20" s="29" customFormat="1" ht="15.75" customHeight="1" x14ac:dyDescent="0.25">
      <c r="B78" s="56" t="s">
        <v>28</v>
      </c>
      <c r="C78" s="56" t="s">
        <v>87</v>
      </c>
      <c r="D78" s="56" t="s">
        <v>117</v>
      </c>
      <c r="E78" s="56" t="s">
        <v>118</v>
      </c>
      <c r="F78" s="56"/>
      <c r="G78" s="102"/>
      <c r="H78" s="69" t="s">
        <v>1645</v>
      </c>
      <c r="I78" s="102"/>
      <c r="J78" s="56" t="s">
        <v>491</v>
      </c>
      <c r="K78" s="56"/>
      <c r="L78" s="56"/>
      <c r="M78" s="56"/>
      <c r="N78" s="56"/>
      <c r="O78" s="56"/>
      <c r="P78" s="112" t="s">
        <v>491</v>
      </c>
      <c r="Q78" s="112"/>
      <c r="R78" s="71"/>
      <c r="S78" s="71"/>
      <c r="T78" s="56"/>
    </row>
    <row r="79" spans="1:20" s="29" customFormat="1" ht="15.75" customHeight="1" x14ac:dyDescent="0.25">
      <c r="B79" s="56" t="s">
        <v>28</v>
      </c>
      <c r="C79" s="56" t="s">
        <v>87</v>
      </c>
      <c r="D79" s="56" t="s">
        <v>121</v>
      </c>
      <c r="E79" s="56" t="s">
        <v>122</v>
      </c>
      <c r="F79" s="56"/>
      <c r="G79" s="102"/>
      <c r="H79" s="69" t="s">
        <v>1645</v>
      </c>
      <c r="I79" s="102"/>
      <c r="J79" s="56" t="s">
        <v>491</v>
      </c>
      <c r="K79" s="56"/>
      <c r="L79" s="56"/>
      <c r="M79" s="56"/>
      <c r="N79" s="56"/>
      <c r="O79" s="56"/>
      <c r="P79" s="112" t="s">
        <v>491</v>
      </c>
      <c r="Q79" s="112"/>
      <c r="R79" s="71"/>
      <c r="S79" s="71"/>
      <c r="T79" s="56"/>
    </row>
    <row r="80" spans="1:20" s="29" customFormat="1" ht="15.75" customHeight="1" x14ac:dyDescent="0.25">
      <c r="B80" s="56" t="s">
        <v>28</v>
      </c>
      <c r="C80" s="56" t="s">
        <v>87</v>
      </c>
      <c r="D80" s="56" t="s">
        <v>123</v>
      </c>
      <c r="E80" s="56" t="s">
        <v>124</v>
      </c>
      <c r="F80" s="56"/>
      <c r="G80" s="102"/>
      <c r="H80" s="69" t="s">
        <v>1645</v>
      </c>
      <c r="I80" s="102"/>
      <c r="J80" s="56" t="s">
        <v>491</v>
      </c>
      <c r="K80" s="56"/>
      <c r="L80" s="56"/>
      <c r="M80" s="56"/>
      <c r="N80" s="56"/>
      <c r="O80" s="56"/>
      <c r="P80" s="112" t="s">
        <v>491</v>
      </c>
      <c r="Q80" s="112"/>
      <c r="R80" s="71"/>
      <c r="S80" s="71"/>
      <c r="T80" s="56"/>
    </row>
    <row r="81" spans="1:21" s="29" customFormat="1" ht="15.75" customHeight="1" x14ac:dyDescent="0.25">
      <c r="B81" s="56" t="s">
        <v>28</v>
      </c>
      <c r="C81" s="56" t="s">
        <v>87</v>
      </c>
      <c r="D81" s="56" t="s">
        <v>127</v>
      </c>
      <c r="E81" s="56" t="s">
        <v>128</v>
      </c>
      <c r="F81" s="56"/>
      <c r="G81" s="102"/>
      <c r="H81" s="69" t="s">
        <v>1645</v>
      </c>
      <c r="I81" s="102"/>
      <c r="J81" s="56" t="s">
        <v>491</v>
      </c>
      <c r="K81" s="56"/>
      <c r="L81" s="56"/>
      <c r="M81" s="56"/>
      <c r="N81" s="56"/>
      <c r="O81" s="56"/>
      <c r="P81" s="112" t="s">
        <v>491</v>
      </c>
      <c r="Q81" s="112"/>
      <c r="R81" s="71"/>
      <c r="S81" s="71"/>
      <c r="T81" s="56"/>
    </row>
    <row r="82" spans="1:21" s="29" customFormat="1" ht="15.75" customHeight="1" x14ac:dyDescent="0.25">
      <c r="B82" s="56" t="s">
        <v>28</v>
      </c>
      <c r="C82" s="56" t="s">
        <v>87</v>
      </c>
      <c r="D82" s="56" t="s">
        <v>129</v>
      </c>
      <c r="E82" s="56" t="s">
        <v>130</v>
      </c>
      <c r="F82" s="56"/>
      <c r="G82" s="102"/>
      <c r="H82" s="69" t="s">
        <v>1645</v>
      </c>
      <c r="I82" s="102"/>
      <c r="J82" s="56" t="s">
        <v>491</v>
      </c>
      <c r="K82" s="56"/>
      <c r="L82" s="56"/>
      <c r="M82" s="56"/>
      <c r="N82" s="56"/>
      <c r="O82" s="56"/>
      <c r="P82" s="112" t="s">
        <v>491</v>
      </c>
      <c r="Q82" s="112"/>
      <c r="R82" s="71"/>
      <c r="S82" s="71"/>
      <c r="T82" s="56"/>
    </row>
    <row r="83" spans="1:21" s="29" customFormat="1" ht="15.75" customHeight="1" x14ac:dyDescent="0.25">
      <c r="B83" s="56" t="s">
        <v>28</v>
      </c>
      <c r="C83" s="56" t="s">
        <v>87</v>
      </c>
      <c r="D83" s="56" t="s">
        <v>131</v>
      </c>
      <c r="E83" s="56" t="s">
        <v>132</v>
      </c>
      <c r="F83" s="56"/>
      <c r="G83" s="102"/>
      <c r="H83" s="69" t="s">
        <v>1645</v>
      </c>
      <c r="I83" s="102"/>
      <c r="J83" s="56"/>
      <c r="K83" s="56"/>
      <c r="L83" s="56"/>
      <c r="M83" s="56"/>
      <c r="N83" s="56"/>
      <c r="O83" s="56"/>
      <c r="P83" s="112"/>
      <c r="Q83" s="112"/>
      <c r="R83" s="71"/>
      <c r="S83" s="71"/>
      <c r="T83" s="56"/>
    </row>
    <row r="84" spans="1:21" s="29" customFormat="1" ht="15.75" customHeight="1" x14ac:dyDescent="0.25">
      <c r="B84" s="56" t="s">
        <v>28</v>
      </c>
      <c r="C84" s="56" t="s">
        <v>87</v>
      </c>
      <c r="D84" s="56" t="s">
        <v>133</v>
      </c>
      <c r="E84" s="56" t="s">
        <v>134</v>
      </c>
      <c r="F84" s="56"/>
      <c r="G84" s="102"/>
      <c r="H84" s="69" t="s">
        <v>1645</v>
      </c>
      <c r="I84" s="102"/>
      <c r="J84" s="56" t="s">
        <v>491</v>
      </c>
      <c r="K84" s="56"/>
      <c r="L84" s="56"/>
      <c r="M84" s="56"/>
      <c r="N84" s="56"/>
      <c r="O84" s="56"/>
      <c r="P84" s="112" t="s">
        <v>491</v>
      </c>
      <c r="Q84" s="112"/>
      <c r="R84" s="71"/>
      <c r="S84" s="71"/>
      <c r="T84" s="56"/>
    </row>
    <row r="85" spans="1:21" s="29" customFormat="1" ht="15.75" customHeight="1" x14ac:dyDescent="0.25">
      <c r="B85" s="56"/>
      <c r="C85" s="56"/>
      <c r="D85" s="56"/>
      <c r="E85" s="56"/>
      <c r="F85" s="56"/>
      <c r="G85" s="56"/>
      <c r="H85" s="56"/>
      <c r="I85" s="56"/>
      <c r="J85" s="56"/>
      <c r="K85" s="56"/>
      <c r="L85" s="56"/>
      <c r="M85" s="56"/>
      <c r="N85" s="56"/>
      <c r="O85" s="56"/>
      <c r="P85" s="56"/>
      <c r="Q85" s="56"/>
      <c r="R85" s="110"/>
      <c r="S85" s="111"/>
      <c r="T85" s="56"/>
    </row>
    <row r="86" spans="1:21" s="29" customFormat="1" ht="15.75" customHeight="1" thickBot="1" x14ac:dyDescent="0.3">
      <c r="B86" s="56"/>
      <c r="C86" s="56"/>
      <c r="D86" s="56"/>
      <c r="E86" s="56"/>
      <c r="F86" s="56"/>
      <c r="G86" s="56"/>
      <c r="H86" s="56"/>
      <c r="I86" s="56"/>
      <c r="J86" s="56"/>
      <c r="K86" s="72"/>
      <c r="L86" s="72"/>
      <c r="M86" s="72"/>
      <c r="N86" s="72"/>
      <c r="O86" s="72"/>
      <c r="P86" s="114"/>
      <c r="Q86" s="114"/>
      <c r="R86" s="115"/>
      <c r="S86" s="115"/>
      <c r="T86" s="56"/>
    </row>
    <row r="87" spans="1:21" s="29" customFormat="1" ht="15.75" customHeight="1" thickTop="1" x14ac:dyDescent="0.25">
      <c r="B87" s="74"/>
      <c r="C87" s="74"/>
      <c r="D87" s="74"/>
      <c r="E87" s="74"/>
      <c r="F87" s="74"/>
      <c r="G87" s="74"/>
      <c r="H87" s="74"/>
      <c r="I87" s="74"/>
      <c r="J87" s="74"/>
      <c r="K87" s="56"/>
      <c r="L87" s="56"/>
      <c r="M87" s="56"/>
      <c r="N87" s="56"/>
      <c r="O87" s="56"/>
      <c r="P87" s="116"/>
      <c r="Q87" s="112"/>
      <c r="R87" s="71"/>
      <c r="S87" s="71"/>
      <c r="T87" s="56"/>
    </row>
    <row r="88" spans="1:21" s="29" customFormat="1" ht="15.75" customHeight="1" x14ac:dyDescent="0.25">
      <c r="B88" s="56" t="s">
        <v>137</v>
      </c>
      <c r="C88" s="56" t="s">
        <v>152</v>
      </c>
      <c r="D88" s="56" t="s">
        <v>153</v>
      </c>
      <c r="E88" s="56" t="s">
        <v>154</v>
      </c>
      <c r="F88" s="56"/>
      <c r="G88" s="56"/>
      <c r="H88" s="56">
        <v>10.3</v>
      </c>
      <c r="I88" s="56"/>
      <c r="J88" s="78" t="s">
        <v>1529</v>
      </c>
      <c r="K88" s="56" t="s">
        <v>695</v>
      </c>
      <c r="L88" s="56" t="s">
        <v>802</v>
      </c>
      <c r="M88" s="56" t="s">
        <v>693</v>
      </c>
      <c r="N88" s="56" t="s">
        <v>1530</v>
      </c>
      <c r="O88" s="56" t="s">
        <v>1531</v>
      </c>
      <c r="P88" s="112" t="s">
        <v>1534</v>
      </c>
      <c r="Q88" s="112" t="s">
        <v>851</v>
      </c>
      <c r="R88" s="71" t="s">
        <v>1584</v>
      </c>
      <c r="S88" s="71" t="s">
        <v>1532</v>
      </c>
      <c r="T88" s="56"/>
      <c r="U88" s="29" t="s">
        <v>508</v>
      </c>
    </row>
    <row r="89" spans="1:21" s="29" customFormat="1" ht="15.75" customHeight="1" x14ac:dyDescent="0.25">
      <c r="A89" s="32"/>
      <c r="B89" s="56" t="s">
        <v>137</v>
      </c>
      <c r="C89" s="56" t="s">
        <v>152</v>
      </c>
      <c r="D89" s="56" t="s">
        <v>155</v>
      </c>
      <c r="E89" s="56" t="s">
        <v>156</v>
      </c>
      <c r="F89" s="56"/>
      <c r="G89" s="56"/>
      <c r="H89" s="56">
        <v>2.7</v>
      </c>
      <c r="I89" s="56"/>
      <c r="J89" s="78" t="s">
        <v>1517</v>
      </c>
      <c r="K89" s="56"/>
      <c r="L89" s="56"/>
      <c r="M89" s="56"/>
      <c r="N89" s="56" t="s">
        <v>1518</v>
      </c>
      <c r="O89" s="56">
        <v>600</v>
      </c>
      <c r="P89" s="112" t="s">
        <v>1326</v>
      </c>
      <c r="Q89" s="112" t="s">
        <v>846</v>
      </c>
      <c r="R89" s="71" t="s">
        <v>1519</v>
      </c>
      <c r="S89" s="71"/>
      <c r="T89" s="56"/>
      <c r="U89" s="29" t="s">
        <v>508</v>
      </c>
    </row>
    <row r="90" spans="1:21" s="29" customFormat="1" ht="15.75" customHeight="1" x14ac:dyDescent="0.25">
      <c r="B90" s="56" t="s">
        <v>137</v>
      </c>
      <c r="C90" s="56" t="s">
        <v>152</v>
      </c>
      <c r="D90" s="56" t="s">
        <v>157</v>
      </c>
      <c r="E90" s="56" t="s">
        <v>158</v>
      </c>
      <c r="F90" s="56"/>
      <c r="G90" s="102">
        <v>6</v>
      </c>
      <c r="H90" s="102">
        <v>7</v>
      </c>
      <c r="I90" s="102">
        <v>8</v>
      </c>
      <c r="J90" s="56">
        <v>2015</v>
      </c>
      <c r="K90" s="56" t="s">
        <v>691</v>
      </c>
      <c r="L90" s="56" t="s">
        <v>692</v>
      </c>
      <c r="M90" s="56" t="s">
        <v>693</v>
      </c>
      <c r="N90" s="66" t="s">
        <v>1310</v>
      </c>
      <c r="O90" s="70" t="s">
        <v>1311</v>
      </c>
      <c r="P90" s="112" t="s">
        <v>19</v>
      </c>
      <c r="Q90" s="112" t="s">
        <v>849</v>
      </c>
      <c r="R90" s="71" t="s">
        <v>1309</v>
      </c>
      <c r="S90" s="71"/>
      <c r="T90" s="56"/>
    </row>
    <row r="91" spans="1:21" s="29" customFormat="1" ht="15.75" customHeight="1" x14ac:dyDescent="0.25">
      <c r="B91" s="56"/>
      <c r="C91" s="56"/>
      <c r="D91" s="56"/>
      <c r="E91" s="56"/>
      <c r="F91" s="56"/>
      <c r="G91" s="56"/>
      <c r="H91" s="56"/>
      <c r="I91" s="56"/>
      <c r="J91" s="56"/>
      <c r="K91" s="56"/>
      <c r="L91" s="56"/>
      <c r="M91" s="56"/>
      <c r="N91" s="56"/>
      <c r="O91" s="56"/>
      <c r="P91" s="112"/>
      <c r="Q91" s="112"/>
      <c r="R91" s="71"/>
      <c r="S91" s="71"/>
      <c r="T91" s="56"/>
    </row>
    <row r="92" spans="1:21" s="29" customFormat="1" ht="15.75" customHeight="1" x14ac:dyDescent="0.25">
      <c r="B92" s="78"/>
      <c r="C92" s="56"/>
      <c r="D92" s="56"/>
      <c r="E92" s="56"/>
      <c r="F92" s="56"/>
      <c r="G92" s="57"/>
      <c r="H92" s="57"/>
      <c r="I92" s="57"/>
      <c r="J92" s="56"/>
      <c r="K92" s="56"/>
      <c r="L92" s="56"/>
      <c r="M92" s="56"/>
      <c r="N92" s="56"/>
      <c r="O92" s="56"/>
      <c r="P92" s="112"/>
      <c r="Q92" s="112"/>
      <c r="R92" s="71"/>
      <c r="S92" s="71"/>
      <c r="T92" s="56"/>
    </row>
    <row r="93" spans="1:21" s="29" customFormat="1" ht="15.75" customHeight="1" x14ac:dyDescent="0.25">
      <c r="B93" s="56" t="s">
        <v>137</v>
      </c>
      <c r="C93" s="56" t="s">
        <v>152</v>
      </c>
      <c r="D93" s="56" t="s">
        <v>194</v>
      </c>
      <c r="E93" s="56" t="s">
        <v>195</v>
      </c>
      <c r="F93" s="56"/>
      <c r="G93" s="102"/>
      <c r="H93" s="69" t="s">
        <v>1645</v>
      </c>
      <c r="I93" s="102"/>
      <c r="J93" s="56" t="s">
        <v>491</v>
      </c>
      <c r="K93" s="56"/>
      <c r="L93" s="56"/>
      <c r="M93" s="56"/>
      <c r="N93" s="56"/>
      <c r="O93" s="56"/>
      <c r="P93" s="112" t="s">
        <v>491</v>
      </c>
      <c r="Q93" s="112"/>
      <c r="R93" s="71"/>
      <c r="S93" s="71"/>
      <c r="T93" s="56"/>
    </row>
    <row r="94" spans="1:21" s="29" customFormat="1" ht="15.75" customHeight="1" x14ac:dyDescent="0.25">
      <c r="B94" s="56" t="s">
        <v>137</v>
      </c>
      <c r="C94" s="56" t="s">
        <v>152</v>
      </c>
      <c r="D94" s="56" t="s">
        <v>383</v>
      </c>
      <c r="E94" s="56" t="s">
        <v>384</v>
      </c>
      <c r="F94" s="56"/>
      <c r="G94" s="102"/>
      <c r="H94" s="69" t="s">
        <v>1645</v>
      </c>
      <c r="I94" s="102"/>
      <c r="J94" s="56"/>
      <c r="K94" s="56"/>
      <c r="L94" s="56"/>
      <c r="M94" s="56"/>
      <c r="N94" s="56"/>
      <c r="O94" s="56"/>
      <c r="P94" s="112"/>
      <c r="Q94" s="112"/>
      <c r="R94" s="71"/>
      <c r="S94" s="71"/>
      <c r="T94" s="56"/>
    </row>
    <row r="95" spans="1:21" s="29" customFormat="1" ht="15.75" customHeight="1" x14ac:dyDescent="0.25">
      <c r="B95" s="78"/>
      <c r="C95" s="56"/>
      <c r="D95" s="56"/>
      <c r="E95" s="56"/>
      <c r="F95" s="56"/>
      <c r="G95" s="57"/>
      <c r="H95" s="57"/>
      <c r="I95" s="57"/>
      <c r="J95" s="56"/>
      <c r="K95" s="56"/>
      <c r="L95" s="56"/>
      <c r="M95" s="56"/>
      <c r="N95" s="56"/>
      <c r="O95" s="56"/>
      <c r="P95" s="112"/>
      <c r="Q95" s="112"/>
      <c r="R95" s="71"/>
      <c r="S95" s="71"/>
      <c r="T95" s="56"/>
    </row>
    <row r="96" spans="1:21" s="29" customFormat="1" ht="15.75" customHeight="1" thickBot="1" x14ac:dyDescent="0.3">
      <c r="B96" s="56"/>
      <c r="C96" s="56"/>
      <c r="D96" s="56"/>
      <c r="E96" s="56"/>
      <c r="F96" s="56"/>
      <c r="G96" s="56"/>
      <c r="H96" s="56"/>
      <c r="I96" s="56"/>
      <c r="J96" s="56"/>
      <c r="K96" s="72"/>
      <c r="L96" s="72"/>
      <c r="M96" s="72"/>
      <c r="N96" s="72"/>
      <c r="O96" s="72"/>
      <c r="P96" s="114"/>
      <c r="Q96" s="114"/>
      <c r="R96" s="115"/>
      <c r="S96" s="115"/>
      <c r="T96" s="56"/>
    </row>
    <row r="97" spans="1:22" s="29" customFormat="1" ht="15.75" customHeight="1" thickTop="1" x14ac:dyDescent="0.25">
      <c r="B97" s="74"/>
      <c r="C97" s="74"/>
      <c r="D97" s="74"/>
      <c r="E97" s="74"/>
      <c r="F97" s="74"/>
      <c r="G97" s="74"/>
      <c r="H97" s="74"/>
      <c r="I97" s="74"/>
      <c r="J97" s="74"/>
      <c r="K97" s="56"/>
      <c r="L97" s="56"/>
      <c r="M97" s="56"/>
      <c r="N97" s="56"/>
      <c r="O97" s="56"/>
      <c r="P97" s="116"/>
      <c r="Q97" s="112"/>
      <c r="R97" s="71"/>
      <c r="S97" s="71"/>
      <c r="T97" s="56"/>
    </row>
    <row r="98" spans="1:22" s="29" customFormat="1" ht="15.75" customHeight="1" x14ac:dyDescent="0.25">
      <c r="B98" s="56" t="s">
        <v>137</v>
      </c>
      <c r="C98" s="80" t="s">
        <v>1643</v>
      </c>
      <c r="D98" s="56" t="s">
        <v>144</v>
      </c>
      <c r="E98" s="56" t="s">
        <v>145</v>
      </c>
      <c r="F98" s="56"/>
      <c r="G98" s="56"/>
      <c r="H98" s="56">
        <v>1.6</v>
      </c>
      <c r="I98" s="56"/>
      <c r="J98" s="56">
        <v>2009</v>
      </c>
      <c r="K98" s="56"/>
      <c r="L98" s="56"/>
      <c r="M98" s="56"/>
      <c r="N98" s="56"/>
      <c r="O98" s="56"/>
      <c r="P98" s="112" t="s">
        <v>22</v>
      </c>
      <c r="Q98" s="112" t="s">
        <v>745</v>
      </c>
      <c r="R98" s="71" t="s">
        <v>528</v>
      </c>
      <c r="S98" s="71"/>
      <c r="T98" s="56"/>
    </row>
    <row r="99" spans="1:22" s="29" customFormat="1" ht="15.75" customHeight="1" x14ac:dyDescent="0.25">
      <c r="B99" s="56" t="s">
        <v>137</v>
      </c>
      <c r="C99" s="80" t="s">
        <v>1643</v>
      </c>
      <c r="D99" s="56" t="s">
        <v>148</v>
      </c>
      <c r="E99" s="56" t="s">
        <v>149</v>
      </c>
      <c r="F99" s="56"/>
      <c r="G99" s="56"/>
      <c r="H99" s="56">
        <v>6</v>
      </c>
      <c r="I99" s="56"/>
      <c r="J99" s="56">
        <v>2000</v>
      </c>
      <c r="K99" s="56"/>
      <c r="L99" s="56"/>
      <c r="M99" s="56"/>
      <c r="N99" s="56"/>
      <c r="O99" s="56"/>
      <c r="P99" s="112" t="s">
        <v>15</v>
      </c>
      <c r="Q99" s="112" t="s">
        <v>852</v>
      </c>
      <c r="R99" s="71" t="s">
        <v>482</v>
      </c>
      <c r="S99" s="71"/>
      <c r="T99" s="56"/>
    </row>
    <row r="100" spans="1:22" s="29" customFormat="1" ht="15.75" customHeight="1" x14ac:dyDescent="0.25">
      <c r="B100" s="56"/>
      <c r="C100" s="56"/>
      <c r="D100" s="56"/>
      <c r="E100" s="56"/>
      <c r="F100" s="56"/>
      <c r="G100" s="56"/>
      <c r="H100" s="56"/>
      <c r="I100" s="56"/>
      <c r="J100" s="56"/>
      <c r="K100" s="56"/>
      <c r="L100" s="56"/>
      <c r="M100" s="56"/>
      <c r="N100" s="56"/>
      <c r="O100" s="56"/>
      <c r="P100" s="112"/>
      <c r="Q100" s="112"/>
      <c r="R100" s="71"/>
      <c r="S100" s="71"/>
      <c r="T100" s="56"/>
    </row>
    <row r="101" spans="1:22" s="29" customFormat="1" ht="15.75" customHeight="1" x14ac:dyDescent="0.25">
      <c r="B101" s="56"/>
      <c r="C101" s="56"/>
      <c r="D101" s="56"/>
      <c r="E101" s="56"/>
      <c r="F101" s="56"/>
      <c r="G101" s="56"/>
      <c r="H101" s="56"/>
      <c r="I101" s="56"/>
      <c r="J101" s="56"/>
      <c r="K101" s="56"/>
      <c r="L101" s="56"/>
      <c r="M101" s="56"/>
      <c r="N101" s="56"/>
      <c r="O101" s="56"/>
      <c r="P101" s="112"/>
      <c r="Q101" s="112"/>
      <c r="R101" s="71"/>
      <c r="S101" s="71"/>
      <c r="T101" s="56"/>
    </row>
    <row r="102" spans="1:22" s="29" customFormat="1" ht="15.75" customHeight="1" x14ac:dyDescent="0.25">
      <c r="B102" s="56" t="s">
        <v>137</v>
      </c>
      <c r="C102" s="80" t="s">
        <v>1643</v>
      </c>
      <c r="D102" s="56" t="s">
        <v>138</v>
      </c>
      <c r="E102" s="56" t="s">
        <v>139</v>
      </c>
      <c r="F102" s="56"/>
      <c r="G102" s="102"/>
      <c r="H102" s="69" t="s">
        <v>1645</v>
      </c>
      <c r="I102" s="102"/>
      <c r="J102" s="56" t="s">
        <v>491</v>
      </c>
      <c r="K102" s="56"/>
      <c r="L102" s="56"/>
      <c r="M102" s="56"/>
      <c r="N102" s="56"/>
      <c r="O102" s="56"/>
      <c r="P102" s="112" t="s">
        <v>491</v>
      </c>
      <c r="Q102" s="112"/>
      <c r="R102" s="71"/>
      <c r="S102" s="71"/>
      <c r="T102" s="56"/>
    </row>
    <row r="103" spans="1:22" s="29" customFormat="1" ht="15.75" customHeight="1" x14ac:dyDescent="0.25">
      <c r="B103" s="56" t="s">
        <v>137</v>
      </c>
      <c r="C103" s="80" t="s">
        <v>1643</v>
      </c>
      <c r="D103" s="56" t="s">
        <v>140</v>
      </c>
      <c r="E103" s="56" t="s">
        <v>141</v>
      </c>
      <c r="F103" s="56"/>
      <c r="G103" s="102"/>
      <c r="H103" s="69" t="s">
        <v>1645</v>
      </c>
      <c r="I103" s="102"/>
      <c r="J103" s="56" t="s">
        <v>491</v>
      </c>
      <c r="K103" s="56"/>
      <c r="L103" s="56"/>
      <c r="M103" s="56"/>
      <c r="N103" s="56"/>
      <c r="O103" s="56"/>
      <c r="P103" s="112" t="s">
        <v>491</v>
      </c>
      <c r="Q103" s="112"/>
      <c r="R103" s="71"/>
      <c r="S103" s="71"/>
      <c r="T103" s="56"/>
    </row>
    <row r="104" spans="1:22" s="29" customFormat="1" ht="15.75" customHeight="1" x14ac:dyDescent="0.25">
      <c r="B104" s="56" t="s">
        <v>137</v>
      </c>
      <c r="C104" s="80" t="s">
        <v>1643</v>
      </c>
      <c r="D104" s="56" t="s">
        <v>142</v>
      </c>
      <c r="E104" s="56" t="s">
        <v>143</v>
      </c>
      <c r="F104" s="56"/>
      <c r="G104" s="102"/>
      <c r="H104" s="69" t="s">
        <v>1645</v>
      </c>
      <c r="I104" s="102"/>
      <c r="J104" s="56" t="s">
        <v>491</v>
      </c>
      <c r="K104" s="56"/>
      <c r="L104" s="56"/>
      <c r="M104" s="56"/>
      <c r="N104" s="56"/>
      <c r="O104" s="56"/>
      <c r="P104" s="112" t="s">
        <v>491</v>
      </c>
      <c r="Q104" s="112"/>
      <c r="R104" s="71"/>
      <c r="S104" s="71"/>
      <c r="T104" s="56"/>
    </row>
    <row r="105" spans="1:22" s="29" customFormat="1" ht="15.75" customHeight="1" x14ac:dyDescent="0.25">
      <c r="B105" s="56" t="s">
        <v>137</v>
      </c>
      <c r="C105" s="80" t="s">
        <v>1643</v>
      </c>
      <c r="D105" s="56" t="s">
        <v>146</v>
      </c>
      <c r="E105" s="56" t="s">
        <v>147</v>
      </c>
      <c r="F105" s="56"/>
      <c r="G105" s="102"/>
      <c r="H105" s="69" t="s">
        <v>1645</v>
      </c>
      <c r="I105" s="102"/>
      <c r="J105" s="56"/>
      <c r="K105" s="56"/>
      <c r="L105" s="56"/>
      <c r="M105" s="56"/>
      <c r="N105" s="56"/>
      <c r="O105" s="56"/>
      <c r="P105" s="112"/>
      <c r="Q105" s="112"/>
      <c r="R105" s="71"/>
      <c r="S105" s="71"/>
      <c r="T105" s="56"/>
      <c r="V105" s="32"/>
    </row>
    <row r="106" spans="1:22" s="29" customFormat="1" ht="15.75" customHeight="1" x14ac:dyDescent="0.25">
      <c r="B106" s="56" t="s">
        <v>137</v>
      </c>
      <c r="C106" s="80" t="s">
        <v>1643</v>
      </c>
      <c r="D106" s="56" t="s">
        <v>150</v>
      </c>
      <c r="E106" s="56" t="s">
        <v>151</v>
      </c>
      <c r="F106" s="56"/>
      <c r="G106" s="102"/>
      <c r="H106" s="69" t="s">
        <v>1645</v>
      </c>
      <c r="I106" s="102"/>
      <c r="J106" s="56" t="s">
        <v>491</v>
      </c>
      <c r="K106" s="56"/>
      <c r="L106" s="56"/>
      <c r="M106" s="56"/>
      <c r="N106" s="56"/>
      <c r="O106" s="56"/>
      <c r="P106" s="112" t="s">
        <v>491</v>
      </c>
      <c r="Q106" s="112"/>
      <c r="R106" s="71"/>
      <c r="S106" s="71"/>
      <c r="T106" s="56"/>
    </row>
    <row r="107" spans="1:22" s="29" customFormat="1" ht="15.75" customHeight="1" x14ac:dyDescent="0.25">
      <c r="B107" s="56"/>
      <c r="C107" s="56"/>
      <c r="D107" s="56"/>
      <c r="E107" s="56"/>
      <c r="F107" s="56"/>
      <c r="G107" s="56"/>
      <c r="H107" s="56"/>
      <c r="I107" s="56"/>
      <c r="J107" s="56"/>
      <c r="K107" s="56"/>
      <c r="L107" s="56"/>
      <c r="M107" s="56"/>
      <c r="N107" s="56"/>
      <c r="O107" s="56"/>
      <c r="P107" s="112"/>
      <c r="Q107" s="112"/>
      <c r="R107" s="71"/>
      <c r="S107" s="71"/>
      <c r="T107" s="56"/>
    </row>
    <row r="108" spans="1:22" s="29" customFormat="1" ht="15.75" customHeight="1" thickBot="1" x14ac:dyDescent="0.3">
      <c r="B108" s="56"/>
      <c r="C108" s="56"/>
      <c r="D108" s="56"/>
      <c r="E108" s="56"/>
      <c r="F108" s="56"/>
      <c r="G108" s="56"/>
      <c r="H108" s="56"/>
      <c r="I108" s="56"/>
      <c r="J108" s="56"/>
      <c r="K108" s="72"/>
      <c r="L108" s="72"/>
      <c r="M108" s="72"/>
      <c r="N108" s="72"/>
      <c r="O108" s="72"/>
      <c r="P108" s="114"/>
      <c r="Q108" s="114"/>
      <c r="R108" s="115"/>
      <c r="S108" s="115"/>
      <c r="T108" s="56"/>
    </row>
    <row r="109" spans="1:22" s="29" customFormat="1" ht="15.75" customHeight="1" thickTop="1" x14ac:dyDescent="0.25">
      <c r="B109" s="74"/>
      <c r="C109" s="74"/>
      <c r="D109" s="74"/>
      <c r="E109" s="74"/>
      <c r="F109" s="74"/>
      <c r="G109" s="74"/>
      <c r="H109" s="74"/>
      <c r="I109" s="74"/>
      <c r="J109" s="74"/>
      <c r="K109" s="56"/>
      <c r="L109" s="56"/>
      <c r="M109" s="56"/>
      <c r="N109" s="56"/>
      <c r="O109" s="56"/>
      <c r="P109" s="116"/>
      <c r="Q109" s="112"/>
      <c r="R109" s="71"/>
      <c r="S109" s="71"/>
      <c r="T109" s="56"/>
    </row>
    <row r="110" spans="1:22" s="29" customFormat="1" ht="15.75" customHeight="1" x14ac:dyDescent="0.25">
      <c r="B110" s="56" t="s">
        <v>137</v>
      </c>
      <c r="C110" s="56" t="s">
        <v>159</v>
      </c>
      <c r="D110" s="56" t="s">
        <v>160</v>
      </c>
      <c r="E110" s="56" t="s">
        <v>161</v>
      </c>
      <c r="F110" s="56"/>
      <c r="G110" s="56">
        <v>1.1000000000000001</v>
      </c>
      <c r="H110" s="56">
        <v>3.5</v>
      </c>
      <c r="I110" s="56">
        <v>5.9</v>
      </c>
      <c r="J110" s="56">
        <v>2014</v>
      </c>
      <c r="K110" s="56" t="s">
        <v>803</v>
      </c>
      <c r="L110" s="56" t="s">
        <v>804</v>
      </c>
      <c r="M110" s="56" t="s">
        <v>693</v>
      </c>
      <c r="N110" s="56" t="s">
        <v>805</v>
      </c>
      <c r="O110" s="56" t="s">
        <v>806</v>
      </c>
      <c r="P110" s="112" t="s">
        <v>19</v>
      </c>
      <c r="Q110" s="112" t="s">
        <v>853</v>
      </c>
      <c r="R110" s="71" t="s">
        <v>610</v>
      </c>
      <c r="S110" s="71"/>
      <c r="T110" s="56"/>
    </row>
    <row r="111" spans="1:22" s="29" customFormat="1" ht="15.75" customHeight="1" x14ac:dyDescent="0.25">
      <c r="A111" s="32"/>
      <c r="B111" s="56" t="s">
        <v>137</v>
      </c>
      <c r="C111" s="56" t="s">
        <v>159</v>
      </c>
      <c r="D111" s="56" t="s">
        <v>164</v>
      </c>
      <c r="E111" s="56" t="s">
        <v>165</v>
      </c>
      <c r="F111" s="56"/>
      <c r="G111" s="56">
        <v>5.5</v>
      </c>
      <c r="H111" s="56">
        <v>8.1999999999999993</v>
      </c>
      <c r="I111" s="56">
        <v>10.8</v>
      </c>
      <c r="J111" s="56">
        <v>2009</v>
      </c>
      <c r="K111" s="56" t="s">
        <v>691</v>
      </c>
      <c r="L111" s="56" t="s">
        <v>692</v>
      </c>
      <c r="M111" s="56" t="s">
        <v>693</v>
      </c>
      <c r="N111" s="56" t="s">
        <v>1287</v>
      </c>
      <c r="O111" s="70">
        <v>414</v>
      </c>
      <c r="P111" s="112" t="s">
        <v>15</v>
      </c>
      <c r="Q111" s="112" t="s">
        <v>856</v>
      </c>
      <c r="R111" s="71" t="s">
        <v>1288</v>
      </c>
      <c r="S111" s="71" t="s">
        <v>508</v>
      </c>
      <c r="T111" s="56"/>
    </row>
    <row r="112" spans="1:22" s="29" customFormat="1" ht="15.75" customHeight="1" x14ac:dyDescent="0.25">
      <c r="A112" s="32"/>
      <c r="B112" s="56" t="s">
        <v>137</v>
      </c>
      <c r="C112" s="56" t="s">
        <v>159</v>
      </c>
      <c r="D112" s="56" t="s">
        <v>168</v>
      </c>
      <c r="E112" s="56" t="s">
        <v>169</v>
      </c>
      <c r="F112" s="56"/>
      <c r="G112" s="56">
        <v>2.7</v>
      </c>
      <c r="H112" s="56"/>
      <c r="I112" s="56">
        <v>8.9</v>
      </c>
      <c r="J112" s="56">
        <v>2014</v>
      </c>
      <c r="K112" s="56"/>
      <c r="L112" s="56"/>
      <c r="M112" s="56"/>
      <c r="N112" s="56" t="s">
        <v>808</v>
      </c>
      <c r="O112" s="56" t="s">
        <v>508</v>
      </c>
      <c r="P112" s="112" t="s">
        <v>612</v>
      </c>
      <c r="Q112" s="112" t="s">
        <v>846</v>
      </c>
      <c r="R112" s="71" t="s">
        <v>613</v>
      </c>
      <c r="S112" s="71" t="s">
        <v>869</v>
      </c>
      <c r="T112" s="56"/>
    </row>
    <row r="113" spans="2:20" s="29" customFormat="1" ht="15.75" customHeight="1" x14ac:dyDescent="0.25">
      <c r="B113" s="56" t="s">
        <v>137</v>
      </c>
      <c r="C113" s="56" t="s">
        <v>159</v>
      </c>
      <c r="D113" s="56" t="s">
        <v>174</v>
      </c>
      <c r="E113" s="56" t="s">
        <v>175</v>
      </c>
      <c r="F113" s="56"/>
      <c r="G113" s="56"/>
      <c r="H113" s="56">
        <v>9.1</v>
      </c>
      <c r="I113" s="56"/>
      <c r="J113" s="56">
        <v>2006</v>
      </c>
      <c r="K113" s="56"/>
      <c r="L113" s="56"/>
      <c r="M113" s="56"/>
      <c r="N113" s="56"/>
      <c r="O113" s="56"/>
      <c r="P113" s="112" t="s">
        <v>479</v>
      </c>
      <c r="Q113" s="112" t="s">
        <v>846</v>
      </c>
      <c r="R113" s="71" t="s">
        <v>528</v>
      </c>
      <c r="S113" s="71"/>
      <c r="T113" s="56"/>
    </row>
    <row r="114" spans="2:20" s="29" customFormat="1" ht="15.75" customHeight="1" x14ac:dyDescent="0.25">
      <c r="B114" s="56" t="s">
        <v>137</v>
      </c>
      <c r="C114" s="56" t="s">
        <v>159</v>
      </c>
      <c r="D114" s="56" t="s">
        <v>176</v>
      </c>
      <c r="E114" s="56" t="s">
        <v>177</v>
      </c>
      <c r="F114" s="56"/>
      <c r="G114" s="56"/>
      <c r="H114" s="56">
        <v>13</v>
      </c>
      <c r="I114" s="56"/>
      <c r="J114" s="56" t="s">
        <v>490</v>
      </c>
      <c r="K114" s="56"/>
      <c r="L114" s="56"/>
      <c r="M114" s="56"/>
      <c r="N114" s="56"/>
      <c r="O114" s="56"/>
      <c r="P114" s="112" t="s">
        <v>15</v>
      </c>
      <c r="Q114" s="112" t="s">
        <v>852</v>
      </c>
      <c r="R114" s="71" t="s">
        <v>482</v>
      </c>
      <c r="S114" s="71"/>
      <c r="T114" s="56"/>
    </row>
    <row r="115" spans="2:20" s="29" customFormat="1" ht="15.75" customHeight="1" x14ac:dyDescent="0.25">
      <c r="B115" s="56" t="s">
        <v>137</v>
      </c>
      <c r="C115" s="56" t="s">
        <v>159</v>
      </c>
      <c r="D115" s="56" t="s">
        <v>180</v>
      </c>
      <c r="E115" s="56" t="s">
        <v>181</v>
      </c>
      <c r="F115" s="56"/>
      <c r="G115" s="56">
        <v>1.7</v>
      </c>
      <c r="H115" s="56">
        <v>10.4</v>
      </c>
      <c r="I115" s="56">
        <v>24.9</v>
      </c>
      <c r="J115" s="56">
        <v>2012</v>
      </c>
      <c r="K115" s="56" t="s">
        <v>809</v>
      </c>
      <c r="L115" s="56" t="s">
        <v>725</v>
      </c>
      <c r="M115" s="56" t="s">
        <v>693</v>
      </c>
      <c r="N115" s="56" t="s">
        <v>1331</v>
      </c>
      <c r="O115" s="56">
        <v>318</v>
      </c>
      <c r="P115" s="112" t="s">
        <v>19</v>
      </c>
      <c r="Q115" s="112" t="s">
        <v>854</v>
      </c>
      <c r="R115" s="71" t="s">
        <v>547</v>
      </c>
      <c r="S115" s="71"/>
      <c r="T115" s="56" t="s">
        <v>508</v>
      </c>
    </row>
    <row r="116" spans="2:20" s="29" customFormat="1" ht="15.75" customHeight="1" x14ac:dyDescent="0.25">
      <c r="B116" s="56"/>
      <c r="C116" s="56"/>
      <c r="D116" s="56"/>
      <c r="E116" s="56"/>
      <c r="F116" s="56"/>
      <c r="G116" s="56"/>
      <c r="H116" s="56"/>
      <c r="I116" s="56"/>
      <c r="J116" s="56"/>
      <c r="K116" s="56"/>
      <c r="L116" s="56"/>
      <c r="M116" s="56"/>
      <c r="N116" s="56"/>
      <c r="O116" s="56"/>
      <c r="P116" s="112"/>
      <c r="Q116" s="112"/>
      <c r="R116" s="71"/>
      <c r="S116" s="71"/>
      <c r="T116" s="56"/>
    </row>
    <row r="117" spans="2:20" s="29" customFormat="1" ht="15.75" customHeight="1" x14ac:dyDescent="0.25">
      <c r="B117" s="56"/>
      <c r="C117" s="56"/>
      <c r="D117" s="56"/>
      <c r="E117" s="56"/>
      <c r="F117" s="56"/>
      <c r="G117" s="56"/>
      <c r="H117" s="56"/>
      <c r="I117" s="56"/>
      <c r="J117" s="56"/>
      <c r="K117" s="56"/>
      <c r="L117" s="56"/>
      <c r="M117" s="56"/>
      <c r="N117" s="56"/>
      <c r="O117" s="56"/>
      <c r="P117" s="112"/>
      <c r="Q117" s="112"/>
      <c r="R117" s="71"/>
      <c r="S117" s="71"/>
      <c r="T117" s="56"/>
    </row>
    <row r="118" spans="2:20" s="29" customFormat="1" ht="15.75" customHeight="1" x14ac:dyDescent="0.25">
      <c r="B118" s="56" t="s">
        <v>137</v>
      </c>
      <c r="C118" s="56" t="s">
        <v>159</v>
      </c>
      <c r="D118" s="56" t="s">
        <v>162</v>
      </c>
      <c r="E118" s="56" t="s">
        <v>163</v>
      </c>
      <c r="F118" s="56"/>
      <c r="G118" s="102"/>
      <c r="H118" s="69" t="s">
        <v>1645</v>
      </c>
      <c r="I118" s="102"/>
      <c r="J118" s="56" t="s">
        <v>491</v>
      </c>
      <c r="K118" s="56"/>
      <c r="L118" s="56"/>
      <c r="M118" s="56"/>
      <c r="N118" s="56"/>
      <c r="O118" s="56"/>
      <c r="P118" s="112" t="s">
        <v>491</v>
      </c>
      <c r="Q118" s="112"/>
      <c r="R118" s="71"/>
      <c r="S118" s="71"/>
      <c r="T118" s="56"/>
    </row>
    <row r="119" spans="2:20" s="29" customFormat="1" ht="15.75" customHeight="1" x14ac:dyDescent="0.25">
      <c r="B119" s="56" t="s">
        <v>137</v>
      </c>
      <c r="C119" s="56" t="s">
        <v>159</v>
      </c>
      <c r="D119" s="56" t="s">
        <v>166</v>
      </c>
      <c r="E119" s="56" t="s">
        <v>167</v>
      </c>
      <c r="F119" s="56"/>
      <c r="G119" s="102"/>
      <c r="H119" s="69" t="s">
        <v>1645</v>
      </c>
      <c r="I119" s="102"/>
      <c r="J119" s="56" t="s">
        <v>491</v>
      </c>
      <c r="K119" s="56"/>
      <c r="L119" s="56"/>
      <c r="M119" s="56"/>
      <c r="N119" s="56"/>
      <c r="O119" s="56"/>
      <c r="P119" s="112" t="s">
        <v>491</v>
      </c>
      <c r="Q119" s="112"/>
      <c r="R119" s="71"/>
      <c r="S119" s="71"/>
      <c r="T119" s="56"/>
    </row>
    <row r="120" spans="2:20" s="29" customFormat="1" ht="15.75" customHeight="1" x14ac:dyDescent="0.25">
      <c r="B120" s="56" t="s">
        <v>137</v>
      </c>
      <c r="C120" s="56" t="s">
        <v>159</v>
      </c>
      <c r="D120" s="56" t="s">
        <v>170</v>
      </c>
      <c r="E120" s="56" t="s">
        <v>171</v>
      </c>
      <c r="F120" s="56"/>
      <c r="G120" s="102"/>
      <c r="H120" s="69" t="s">
        <v>1645</v>
      </c>
      <c r="I120" s="102"/>
      <c r="J120" s="56" t="s">
        <v>491</v>
      </c>
      <c r="K120" s="56"/>
      <c r="L120" s="56"/>
      <c r="M120" s="56"/>
      <c r="N120" s="56"/>
      <c r="O120" s="56"/>
      <c r="P120" s="112" t="s">
        <v>491</v>
      </c>
      <c r="Q120" s="112"/>
      <c r="R120" s="71"/>
      <c r="S120" s="71"/>
      <c r="T120" s="56"/>
    </row>
    <row r="121" spans="2:20" s="29" customFormat="1" ht="15.75" customHeight="1" x14ac:dyDescent="0.25">
      <c r="B121" s="56" t="s">
        <v>137</v>
      </c>
      <c r="C121" s="56" t="s">
        <v>159</v>
      </c>
      <c r="D121" s="56" t="s">
        <v>184</v>
      </c>
      <c r="E121" s="56" t="s">
        <v>185</v>
      </c>
      <c r="F121" s="56"/>
      <c r="G121" s="102"/>
      <c r="H121" s="69" t="s">
        <v>1645</v>
      </c>
      <c r="I121" s="102"/>
      <c r="J121" s="56"/>
      <c r="K121" s="56"/>
      <c r="L121" s="56"/>
      <c r="M121" s="56"/>
      <c r="N121" s="56"/>
      <c r="O121" s="56"/>
      <c r="P121" s="112"/>
      <c r="Q121" s="112"/>
      <c r="R121" s="71"/>
      <c r="S121" s="71"/>
      <c r="T121" s="56"/>
    </row>
    <row r="122" spans="2:20" s="29" customFormat="1" ht="15.75" customHeight="1" x14ac:dyDescent="0.25">
      <c r="B122" s="56" t="s">
        <v>137</v>
      </c>
      <c r="C122" s="56" t="s">
        <v>159</v>
      </c>
      <c r="D122" s="56" t="s">
        <v>186</v>
      </c>
      <c r="E122" s="56" t="s">
        <v>187</v>
      </c>
      <c r="F122" s="56"/>
      <c r="G122" s="102"/>
      <c r="H122" s="69" t="s">
        <v>1645</v>
      </c>
      <c r="I122" s="102"/>
      <c r="J122" s="56"/>
      <c r="K122" s="56"/>
      <c r="L122" s="56"/>
      <c r="M122" s="56"/>
      <c r="N122" s="56"/>
      <c r="O122" s="56"/>
      <c r="P122" s="112"/>
      <c r="Q122" s="112"/>
      <c r="R122" s="71"/>
      <c r="S122" s="71"/>
      <c r="T122" s="56"/>
    </row>
    <row r="123" spans="2:20" s="29" customFormat="1" ht="15.75" customHeight="1" x14ac:dyDescent="0.25">
      <c r="B123" s="56" t="s">
        <v>137</v>
      </c>
      <c r="C123" s="56" t="s">
        <v>159</v>
      </c>
      <c r="D123" s="56" t="s">
        <v>172</v>
      </c>
      <c r="E123" s="56" t="s">
        <v>173</v>
      </c>
      <c r="F123" s="56"/>
      <c r="G123" s="102"/>
      <c r="H123" s="69" t="s">
        <v>1645</v>
      </c>
      <c r="I123" s="102"/>
      <c r="J123" s="56" t="s">
        <v>491</v>
      </c>
      <c r="K123" s="56"/>
      <c r="L123" s="56"/>
      <c r="M123" s="56"/>
      <c r="N123" s="56"/>
      <c r="O123" s="56"/>
      <c r="P123" s="112" t="s">
        <v>491</v>
      </c>
      <c r="Q123" s="112"/>
      <c r="R123" s="71"/>
      <c r="S123" s="71"/>
      <c r="T123" s="56"/>
    </row>
    <row r="124" spans="2:20" s="29" customFormat="1" ht="15.75" customHeight="1" x14ac:dyDescent="0.25">
      <c r="B124" s="56" t="s">
        <v>137</v>
      </c>
      <c r="C124" s="56" t="s">
        <v>159</v>
      </c>
      <c r="D124" s="56" t="s">
        <v>178</v>
      </c>
      <c r="E124" s="56" t="s">
        <v>179</v>
      </c>
      <c r="F124" s="56"/>
      <c r="G124" s="102"/>
      <c r="H124" s="69" t="s">
        <v>1645</v>
      </c>
      <c r="I124" s="102"/>
      <c r="J124" s="56" t="s">
        <v>491</v>
      </c>
      <c r="K124" s="56"/>
      <c r="L124" s="56"/>
      <c r="M124" s="56"/>
      <c r="N124" s="56"/>
      <c r="O124" s="56"/>
      <c r="P124" s="112" t="s">
        <v>491</v>
      </c>
      <c r="Q124" s="112"/>
      <c r="R124" s="71"/>
      <c r="S124" s="71"/>
      <c r="T124" s="56"/>
    </row>
    <row r="125" spans="2:20" s="29" customFormat="1" ht="15.75" customHeight="1" x14ac:dyDescent="0.25">
      <c r="B125" s="56" t="s">
        <v>137</v>
      </c>
      <c r="C125" s="56" t="s">
        <v>159</v>
      </c>
      <c r="D125" s="56" t="s">
        <v>182</v>
      </c>
      <c r="E125" s="56" t="s">
        <v>183</v>
      </c>
      <c r="F125" s="56"/>
      <c r="G125" s="102"/>
      <c r="H125" s="69" t="s">
        <v>1645</v>
      </c>
      <c r="I125" s="102"/>
      <c r="J125" s="56" t="s">
        <v>491</v>
      </c>
      <c r="K125" s="56"/>
      <c r="L125" s="56"/>
      <c r="M125" s="56"/>
      <c r="N125" s="56"/>
      <c r="O125" s="56"/>
      <c r="P125" s="112" t="s">
        <v>491</v>
      </c>
      <c r="Q125" s="112"/>
      <c r="R125" s="71"/>
      <c r="S125" s="71"/>
      <c r="T125" s="56"/>
    </row>
    <row r="126" spans="2:20" s="29" customFormat="1" ht="15.75" customHeight="1" x14ac:dyDescent="0.25">
      <c r="B126" s="56"/>
      <c r="C126" s="56"/>
      <c r="D126" s="56"/>
      <c r="E126" s="56"/>
      <c r="F126" s="56"/>
      <c r="G126" s="56"/>
      <c r="H126" s="56"/>
      <c r="I126" s="56"/>
      <c r="J126" s="56"/>
      <c r="K126" s="56"/>
      <c r="L126" s="56"/>
      <c r="M126" s="56"/>
      <c r="N126" s="56"/>
      <c r="O126" s="56"/>
      <c r="P126" s="112"/>
      <c r="Q126" s="112"/>
      <c r="R126" s="71"/>
      <c r="S126" s="71"/>
      <c r="T126" s="56"/>
    </row>
    <row r="127" spans="2:20" s="29" customFormat="1" ht="15.75" customHeight="1" thickBot="1" x14ac:dyDescent="0.3">
      <c r="B127" s="56"/>
      <c r="C127" s="56"/>
      <c r="D127" s="56"/>
      <c r="E127" s="56"/>
      <c r="F127" s="56"/>
      <c r="G127" s="56"/>
      <c r="H127" s="56"/>
      <c r="I127" s="56"/>
      <c r="J127" s="56"/>
      <c r="K127" s="72"/>
      <c r="L127" s="72"/>
      <c r="M127" s="72"/>
      <c r="N127" s="72"/>
      <c r="O127" s="72"/>
      <c r="P127" s="114"/>
      <c r="Q127" s="114"/>
      <c r="R127" s="115"/>
      <c r="S127" s="115"/>
      <c r="T127" s="56"/>
    </row>
    <row r="128" spans="2:20" s="29" customFormat="1" ht="15.75" customHeight="1" thickTop="1" x14ac:dyDescent="0.25">
      <c r="B128" s="74"/>
      <c r="C128" s="74"/>
      <c r="D128" s="74"/>
      <c r="E128" s="74"/>
      <c r="F128" s="74"/>
      <c r="G128" s="74"/>
      <c r="H128" s="74"/>
      <c r="I128" s="74"/>
      <c r="J128" s="74"/>
      <c r="K128" s="56"/>
      <c r="L128" s="56"/>
      <c r="M128" s="56"/>
      <c r="N128" s="56"/>
      <c r="O128" s="56"/>
      <c r="P128" s="116"/>
      <c r="Q128" s="112"/>
      <c r="R128" s="71"/>
      <c r="S128" s="71"/>
      <c r="T128" s="56"/>
    </row>
    <row r="129" spans="1:20" s="29" customFormat="1" ht="15.75" customHeight="1" x14ac:dyDescent="0.25">
      <c r="B129" s="56" t="s">
        <v>137</v>
      </c>
      <c r="C129" s="86" t="s">
        <v>481</v>
      </c>
      <c r="D129" s="56" t="s">
        <v>220</v>
      </c>
      <c r="E129" s="56" t="s">
        <v>221</v>
      </c>
      <c r="F129" s="56"/>
      <c r="G129" s="56"/>
      <c r="H129" s="56">
        <v>0.4</v>
      </c>
      <c r="I129" s="56"/>
      <c r="J129" s="56">
        <v>2008</v>
      </c>
      <c r="K129" s="56"/>
      <c r="L129" s="56"/>
      <c r="M129" s="56"/>
      <c r="N129" s="56"/>
      <c r="O129" s="56"/>
      <c r="P129" s="112" t="s">
        <v>479</v>
      </c>
      <c r="Q129" s="112" t="s">
        <v>855</v>
      </c>
      <c r="R129" s="71" t="s">
        <v>519</v>
      </c>
      <c r="S129" s="71"/>
      <c r="T129" s="56"/>
    </row>
    <row r="130" spans="1:20" s="29" customFormat="1" ht="15.75" customHeight="1" x14ac:dyDescent="0.25">
      <c r="B130" s="56" t="s">
        <v>137</v>
      </c>
      <c r="C130" s="86" t="s">
        <v>481</v>
      </c>
      <c r="D130" s="56" t="s">
        <v>190</v>
      </c>
      <c r="E130" s="56" t="s">
        <v>191</v>
      </c>
      <c r="F130" s="56"/>
      <c r="G130" s="56"/>
      <c r="H130" s="56">
        <v>0</v>
      </c>
      <c r="I130" s="56"/>
      <c r="J130" s="56">
        <v>2017</v>
      </c>
      <c r="K130" s="56"/>
      <c r="L130" s="56"/>
      <c r="M130" s="56"/>
      <c r="N130" s="56" t="s">
        <v>697</v>
      </c>
      <c r="O130" s="56"/>
      <c r="P130" s="112" t="s">
        <v>480</v>
      </c>
      <c r="Q130" s="112" t="s">
        <v>745</v>
      </c>
      <c r="R130" s="71" t="s">
        <v>1074</v>
      </c>
      <c r="S130" s="71"/>
      <c r="T130" s="56"/>
    </row>
    <row r="131" spans="1:20" s="29" customFormat="1" ht="15.75" customHeight="1" x14ac:dyDescent="0.25">
      <c r="A131" s="32"/>
      <c r="B131" s="56" t="s">
        <v>137</v>
      </c>
      <c r="C131" s="86" t="s">
        <v>481</v>
      </c>
      <c r="D131" s="56" t="s">
        <v>206</v>
      </c>
      <c r="E131" s="56" t="s">
        <v>207</v>
      </c>
      <c r="F131" s="56"/>
      <c r="G131" s="56"/>
      <c r="H131" s="56">
        <v>14.7</v>
      </c>
      <c r="I131" s="56"/>
      <c r="J131" s="56">
        <v>2012</v>
      </c>
      <c r="K131" s="56" t="s">
        <v>691</v>
      </c>
      <c r="L131" s="56" t="s">
        <v>692</v>
      </c>
      <c r="M131" s="56" t="s">
        <v>693</v>
      </c>
      <c r="N131" s="56" t="s">
        <v>882</v>
      </c>
      <c r="O131" s="56" t="s">
        <v>883</v>
      </c>
      <c r="P131" s="112" t="s">
        <v>19</v>
      </c>
      <c r="Q131" s="112" t="s">
        <v>881</v>
      </c>
      <c r="R131" s="71" t="s">
        <v>911</v>
      </c>
      <c r="S131" s="71" t="s">
        <v>912</v>
      </c>
      <c r="T131" s="56"/>
    </row>
    <row r="132" spans="1:20" s="29" customFormat="1" ht="15.75" customHeight="1" x14ac:dyDescent="0.25">
      <c r="B132" s="56" t="s">
        <v>137</v>
      </c>
      <c r="C132" s="86" t="s">
        <v>481</v>
      </c>
      <c r="D132" s="56" t="s">
        <v>210</v>
      </c>
      <c r="E132" s="56" t="s">
        <v>211</v>
      </c>
      <c r="F132" s="56"/>
      <c r="G132" s="56"/>
      <c r="H132" s="56">
        <v>6.2</v>
      </c>
      <c r="I132" s="56"/>
      <c r="J132" s="56">
        <v>2009</v>
      </c>
      <c r="K132" s="56"/>
      <c r="L132" s="56"/>
      <c r="M132" s="56"/>
      <c r="N132" s="56"/>
      <c r="O132" s="56"/>
      <c r="P132" s="112" t="s">
        <v>479</v>
      </c>
      <c r="Q132" s="112" t="s">
        <v>745</v>
      </c>
      <c r="R132" s="71" t="s">
        <v>514</v>
      </c>
      <c r="S132" s="71"/>
      <c r="T132" s="56"/>
    </row>
    <row r="133" spans="1:20" s="29" customFormat="1" ht="15.75" customHeight="1" x14ac:dyDescent="0.25">
      <c r="B133" s="56"/>
      <c r="C133" s="56"/>
      <c r="D133" s="56"/>
      <c r="E133" s="56"/>
      <c r="F133" s="56"/>
      <c r="G133" s="56"/>
      <c r="H133" s="56"/>
      <c r="I133" s="56"/>
      <c r="J133" s="56"/>
      <c r="K133" s="56"/>
      <c r="L133" s="56"/>
      <c r="M133" s="56"/>
      <c r="N133" s="56"/>
      <c r="O133" s="56"/>
      <c r="P133" s="112"/>
      <c r="Q133" s="112"/>
      <c r="R133" s="71"/>
      <c r="S133" s="71"/>
      <c r="T133" s="56"/>
    </row>
    <row r="134" spans="1:20" s="29" customFormat="1" ht="15.75" customHeight="1" x14ac:dyDescent="0.25">
      <c r="B134" s="56"/>
      <c r="C134" s="56"/>
      <c r="D134" s="56"/>
      <c r="E134" s="56"/>
      <c r="F134" s="56"/>
      <c r="G134" s="56"/>
      <c r="H134" s="56"/>
      <c r="I134" s="56"/>
      <c r="J134" s="56"/>
      <c r="K134" s="56"/>
      <c r="L134" s="56"/>
      <c r="M134" s="56"/>
      <c r="N134" s="56"/>
      <c r="O134" s="56"/>
      <c r="P134" s="112"/>
      <c r="Q134" s="112"/>
      <c r="R134" s="71"/>
      <c r="S134" s="71"/>
      <c r="T134" s="56"/>
    </row>
    <row r="135" spans="1:20" s="29" customFormat="1" ht="15.75" customHeight="1" x14ac:dyDescent="0.25">
      <c r="B135" s="56" t="s">
        <v>137</v>
      </c>
      <c r="C135" s="86" t="s">
        <v>481</v>
      </c>
      <c r="D135" s="56" t="s">
        <v>218</v>
      </c>
      <c r="E135" s="56" t="s">
        <v>219</v>
      </c>
      <c r="F135" s="56"/>
      <c r="G135" s="56"/>
      <c r="H135" s="69" t="s">
        <v>1645</v>
      </c>
      <c r="I135" s="56"/>
      <c r="J135" s="56"/>
      <c r="K135" s="56"/>
      <c r="L135" s="56"/>
      <c r="M135" s="56"/>
      <c r="N135" s="56"/>
      <c r="O135" s="56"/>
      <c r="P135" s="112"/>
      <c r="Q135" s="112"/>
      <c r="R135" s="71"/>
      <c r="S135" s="71"/>
      <c r="T135" s="56"/>
    </row>
    <row r="136" spans="1:20" s="29" customFormat="1" ht="15.75" customHeight="1" x14ac:dyDescent="0.25">
      <c r="B136" s="56" t="s">
        <v>137</v>
      </c>
      <c r="C136" s="86" t="s">
        <v>481</v>
      </c>
      <c r="D136" s="56" t="s">
        <v>188</v>
      </c>
      <c r="E136" s="56" t="s">
        <v>189</v>
      </c>
      <c r="F136" s="56"/>
      <c r="G136" s="56"/>
      <c r="H136" s="69" t="s">
        <v>1645</v>
      </c>
      <c r="I136" s="56"/>
      <c r="J136" s="56" t="s">
        <v>491</v>
      </c>
      <c r="K136" s="56"/>
      <c r="L136" s="56"/>
      <c r="M136" s="56"/>
      <c r="N136" s="56"/>
      <c r="O136" s="56"/>
      <c r="P136" s="112" t="s">
        <v>491</v>
      </c>
      <c r="Q136" s="112"/>
      <c r="R136" s="71"/>
      <c r="S136" s="71"/>
      <c r="T136" s="56"/>
    </row>
    <row r="137" spans="1:20" s="29" customFormat="1" ht="15.75" customHeight="1" x14ac:dyDescent="0.25">
      <c r="B137" s="56" t="s">
        <v>137</v>
      </c>
      <c r="C137" s="86" t="s">
        <v>481</v>
      </c>
      <c r="D137" s="56" t="s">
        <v>192</v>
      </c>
      <c r="E137" s="56" t="s">
        <v>193</v>
      </c>
      <c r="F137" s="56"/>
      <c r="G137" s="56"/>
      <c r="H137" s="69" t="s">
        <v>1645</v>
      </c>
      <c r="I137" s="56"/>
      <c r="J137" s="56" t="s">
        <v>491</v>
      </c>
      <c r="K137" s="56"/>
      <c r="L137" s="56"/>
      <c r="M137" s="56"/>
      <c r="N137" s="56"/>
      <c r="O137" s="56"/>
      <c r="P137" s="112" t="s">
        <v>491</v>
      </c>
      <c r="Q137" s="112"/>
      <c r="R137" s="71"/>
      <c r="S137" s="71"/>
      <c r="T137" s="56"/>
    </row>
    <row r="138" spans="1:20" s="29" customFormat="1" ht="15.75" customHeight="1" x14ac:dyDescent="0.25">
      <c r="B138" s="56" t="s">
        <v>137</v>
      </c>
      <c r="C138" s="86" t="s">
        <v>481</v>
      </c>
      <c r="D138" s="56" t="s">
        <v>1626</v>
      </c>
      <c r="E138" s="56" t="s">
        <v>1625</v>
      </c>
      <c r="F138" s="56"/>
      <c r="G138" s="56"/>
      <c r="H138" s="69" t="s">
        <v>1645</v>
      </c>
      <c r="I138" s="56"/>
      <c r="J138" s="56"/>
      <c r="K138" s="56"/>
      <c r="L138" s="56"/>
      <c r="M138" s="56"/>
      <c r="N138" s="56"/>
      <c r="O138" s="56"/>
      <c r="P138" s="112"/>
      <c r="Q138" s="112"/>
      <c r="R138" s="71"/>
      <c r="S138" s="71"/>
      <c r="T138" s="56"/>
    </row>
    <row r="139" spans="1:20" s="29" customFormat="1" ht="15.75" customHeight="1" x14ac:dyDescent="0.25">
      <c r="B139" s="56" t="s">
        <v>137</v>
      </c>
      <c r="C139" s="86" t="s">
        <v>481</v>
      </c>
      <c r="D139" s="56" t="s">
        <v>222</v>
      </c>
      <c r="E139" s="56" t="s">
        <v>223</v>
      </c>
      <c r="F139" s="56"/>
      <c r="G139" s="56"/>
      <c r="H139" s="69" t="s">
        <v>1645</v>
      </c>
      <c r="I139" s="56"/>
      <c r="J139" s="56"/>
      <c r="K139" s="56"/>
      <c r="L139" s="56"/>
      <c r="M139" s="56"/>
      <c r="N139" s="56"/>
      <c r="O139" s="56"/>
      <c r="P139" s="112"/>
      <c r="Q139" s="112"/>
      <c r="R139" s="71"/>
      <c r="S139" s="71"/>
      <c r="T139" s="56"/>
    </row>
    <row r="140" spans="1:20" s="29" customFormat="1" ht="15.75" customHeight="1" x14ac:dyDescent="0.25">
      <c r="B140" s="56" t="s">
        <v>137</v>
      </c>
      <c r="C140" s="86" t="s">
        <v>481</v>
      </c>
      <c r="D140" s="56" t="s">
        <v>224</v>
      </c>
      <c r="E140" s="56" t="s">
        <v>225</v>
      </c>
      <c r="F140" s="56"/>
      <c r="G140" s="56"/>
      <c r="H140" s="69" t="s">
        <v>1645</v>
      </c>
      <c r="I140" s="56"/>
      <c r="J140" s="56"/>
      <c r="K140" s="56"/>
      <c r="L140" s="56"/>
      <c r="M140" s="56"/>
      <c r="N140" s="56"/>
      <c r="O140" s="56"/>
      <c r="P140" s="112"/>
      <c r="Q140" s="112"/>
      <c r="R140" s="71"/>
      <c r="S140" s="71"/>
      <c r="T140" s="56"/>
    </row>
    <row r="141" spans="1:20" s="29" customFormat="1" ht="15.75" customHeight="1" x14ac:dyDescent="0.25">
      <c r="B141" s="56" t="s">
        <v>137</v>
      </c>
      <c r="C141" s="86" t="s">
        <v>481</v>
      </c>
      <c r="D141" s="56" t="s">
        <v>226</v>
      </c>
      <c r="E141" s="56" t="s">
        <v>227</v>
      </c>
      <c r="F141" s="56"/>
      <c r="G141" s="56"/>
      <c r="H141" s="69" t="s">
        <v>1645</v>
      </c>
      <c r="I141" s="56"/>
      <c r="J141" s="56" t="s">
        <v>491</v>
      </c>
      <c r="K141" s="56"/>
      <c r="L141" s="56"/>
      <c r="M141" s="56"/>
      <c r="N141" s="56"/>
      <c r="O141" s="56"/>
      <c r="P141" s="112" t="s">
        <v>491</v>
      </c>
      <c r="Q141" s="112"/>
      <c r="R141" s="71"/>
      <c r="S141" s="71"/>
      <c r="T141" s="56"/>
    </row>
    <row r="142" spans="1:20" s="29" customFormat="1" ht="15.75" customHeight="1" x14ac:dyDescent="0.25">
      <c r="B142" s="56" t="s">
        <v>137</v>
      </c>
      <c r="C142" s="86" t="s">
        <v>481</v>
      </c>
      <c r="D142" s="56" t="s">
        <v>196</v>
      </c>
      <c r="E142" s="56" t="s">
        <v>197</v>
      </c>
      <c r="F142" s="56"/>
      <c r="G142" s="56"/>
      <c r="H142" s="69" t="s">
        <v>1645</v>
      </c>
      <c r="I142" s="56"/>
      <c r="J142" s="56" t="s">
        <v>491</v>
      </c>
      <c r="K142" s="56"/>
      <c r="L142" s="56"/>
      <c r="M142" s="56"/>
      <c r="N142" s="56"/>
      <c r="O142" s="56"/>
      <c r="P142" s="112" t="s">
        <v>491</v>
      </c>
      <c r="Q142" s="112"/>
      <c r="R142" s="71"/>
      <c r="S142" s="71"/>
      <c r="T142" s="56"/>
    </row>
    <row r="143" spans="1:20" s="29" customFormat="1" ht="15.75" customHeight="1" x14ac:dyDescent="0.25">
      <c r="B143" s="56" t="s">
        <v>137</v>
      </c>
      <c r="C143" s="86" t="s">
        <v>481</v>
      </c>
      <c r="D143" s="56" t="s">
        <v>198</v>
      </c>
      <c r="E143" s="56" t="s">
        <v>199</v>
      </c>
      <c r="F143" s="56"/>
      <c r="G143" s="56"/>
      <c r="H143" s="69" t="s">
        <v>1645</v>
      </c>
      <c r="I143" s="56"/>
      <c r="J143" s="56" t="s">
        <v>491</v>
      </c>
      <c r="K143" s="56"/>
      <c r="L143" s="56"/>
      <c r="M143" s="56"/>
      <c r="N143" s="56"/>
      <c r="O143" s="56"/>
      <c r="P143" s="112" t="s">
        <v>491</v>
      </c>
      <c r="Q143" s="112"/>
      <c r="R143" s="71"/>
      <c r="S143" s="71"/>
      <c r="T143" s="56"/>
    </row>
    <row r="144" spans="1:20" s="29" customFormat="1" ht="15.75" customHeight="1" x14ac:dyDescent="0.25">
      <c r="B144" s="56" t="s">
        <v>137</v>
      </c>
      <c r="C144" s="86" t="s">
        <v>481</v>
      </c>
      <c r="D144" s="56" t="s">
        <v>200</v>
      </c>
      <c r="E144" s="56" t="s">
        <v>201</v>
      </c>
      <c r="F144" s="56"/>
      <c r="G144" s="56"/>
      <c r="H144" s="69" t="s">
        <v>1645</v>
      </c>
      <c r="I144" s="56"/>
      <c r="J144" s="56" t="s">
        <v>491</v>
      </c>
      <c r="K144" s="56"/>
      <c r="L144" s="56"/>
      <c r="M144" s="56"/>
      <c r="N144" s="56"/>
      <c r="O144" s="56"/>
      <c r="P144" s="112" t="s">
        <v>491</v>
      </c>
      <c r="Q144" s="112"/>
      <c r="R144" s="71"/>
      <c r="S144" s="71"/>
      <c r="T144" s="56"/>
    </row>
    <row r="145" spans="2:21" s="29" customFormat="1" ht="15.75" customHeight="1" x14ac:dyDescent="0.25">
      <c r="B145" s="56" t="s">
        <v>137</v>
      </c>
      <c r="C145" s="86" t="s">
        <v>481</v>
      </c>
      <c r="D145" s="56" t="s">
        <v>228</v>
      </c>
      <c r="E145" s="56" t="s">
        <v>229</v>
      </c>
      <c r="F145" s="56"/>
      <c r="G145" s="56"/>
      <c r="H145" s="69" t="s">
        <v>1645</v>
      </c>
      <c r="I145" s="56"/>
      <c r="J145" s="56"/>
      <c r="K145" s="56"/>
      <c r="L145" s="56"/>
      <c r="M145" s="56"/>
      <c r="N145" s="56"/>
      <c r="O145" s="56"/>
      <c r="P145" s="112"/>
      <c r="Q145" s="112"/>
      <c r="R145" s="71"/>
      <c r="S145" s="71"/>
      <c r="T145" s="56"/>
    </row>
    <row r="146" spans="2:21" s="29" customFormat="1" ht="15.75" customHeight="1" x14ac:dyDescent="0.25">
      <c r="B146" s="56" t="s">
        <v>137</v>
      </c>
      <c r="C146" s="86" t="s">
        <v>481</v>
      </c>
      <c r="D146" s="56" t="s">
        <v>202</v>
      </c>
      <c r="E146" s="56" t="s">
        <v>203</v>
      </c>
      <c r="F146" s="56"/>
      <c r="G146" s="56"/>
      <c r="H146" s="69" t="s">
        <v>1645</v>
      </c>
      <c r="I146" s="56"/>
      <c r="J146" s="56" t="s">
        <v>491</v>
      </c>
      <c r="K146" s="56"/>
      <c r="L146" s="56"/>
      <c r="M146" s="56"/>
      <c r="N146" s="56"/>
      <c r="O146" s="56"/>
      <c r="P146" s="112" t="s">
        <v>491</v>
      </c>
      <c r="Q146" s="112"/>
      <c r="R146" s="71"/>
      <c r="S146" s="71"/>
      <c r="T146" s="56"/>
    </row>
    <row r="147" spans="2:21" s="29" customFormat="1" ht="15.75" customHeight="1" x14ac:dyDescent="0.25">
      <c r="B147" s="56" t="s">
        <v>137</v>
      </c>
      <c r="C147" s="86" t="s">
        <v>481</v>
      </c>
      <c r="D147" s="56" t="s">
        <v>204</v>
      </c>
      <c r="E147" s="56" t="s">
        <v>205</v>
      </c>
      <c r="F147" s="56"/>
      <c r="G147" s="56"/>
      <c r="H147" s="69" t="s">
        <v>1645</v>
      </c>
      <c r="I147" s="56"/>
      <c r="J147" s="56" t="s">
        <v>491</v>
      </c>
      <c r="K147" s="56"/>
      <c r="L147" s="56"/>
      <c r="M147" s="56"/>
      <c r="N147" s="56"/>
      <c r="O147" s="56"/>
      <c r="P147" s="112" t="s">
        <v>491</v>
      </c>
      <c r="Q147" s="112"/>
      <c r="R147" s="71"/>
      <c r="S147" s="71"/>
      <c r="T147" s="56"/>
    </row>
    <row r="148" spans="2:21" s="29" customFormat="1" ht="15.75" customHeight="1" x14ac:dyDescent="0.25">
      <c r="B148" s="56" t="s">
        <v>137</v>
      </c>
      <c r="C148" s="86" t="s">
        <v>481</v>
      </c>
      <c r="D148" s="56" t="s">
        <v>230</v>
      </c>
      <c r="E148" s="56" t="s">
        <v>231</v>
      </c>
      <c r="F148" s="56"/>
      <c r="G148" s="56"/>
      <c r="H148" s="69" t="s">
        <v>1645</v>
      </c>
      <c r="I148" s="56"/>
      <c r="J148" s="56"/>
      <c r="K148" s="56"/>
      <c r="L148" s="56"/>
      <c r="M148" s="56"/>
      <c r="N148" s="56"/>
      <c r="O148" s="56"/>
      <c r="P148" s="112"/>
      <c r="Q148" s="112"/>
      <c r="R148" s="71"/>
      <c r="S148" s="71"/>
      <c r="T148" s="56"/>
    </row>
    <row r="149" spans="2:21" s="29" customFormat="1" ht="15.75" customHeight="1" x14ac:dyDescent="0.25">
      <c r="B149" s="56" t="s">
        <v>137</v>
      </c>
      <c r="C149" s="86" t="s">
        <v>481</v>
      </c>
      <c r="D149" s="56" t="s">
        <v>232</v>
      </c>
      <c r="E149" s="56" t="s">
        <v>233</v>
      </c>
      <c r="F149" s="56"/>
      <c r="G149" s="56"/>
      <c r="H149" s="69" t="s">
        <v>1645</v>
      </c>
      <c r="I149" s="56"/>
      <c r="J149" s="56"/>
      <c r="K149" s="56"/>
      <c r="L149" s="56"/>
      <c r="M149" s="56"/>
      <c r="N149" s="56"/>
      <c r="O149" s="56"/>
      <c r="P149" s="112"/>
      <c r="Q149" s="112"/>
      <c r="R149" s="71"/>
      <c r="S149" s="71"/>
      <c r="T149" s="56"/>
    </row>
    <row r="150" spans="2:21" s="29" customFormat="1" ht="15.75" customHeight="1" x14ac:dyDescent="0.25">
      <c r="B150" s="56" t="s">
        <v>137</v>
      </c>
      <c r="C150" s="86" t="s">
        <v>481</v>
      </c>
      <c r="D150" s="56" t="s">
        <v>4</v>
      </c>
      <c r="E150" s="56" t="s">
        <v>2</v>
      </c>
      <c r="F150" s="56"/>
      <c r="G150" s="56"/>
      <c r="H150" s="69" t="s">
        <v>1645</v>
      </c>
      <c r="I150" s="56"/>
      <c r="J150" s="56"/>
      <c r="K150" s="56"/>
      <c r="L150" s="56"/>
      <c r="M150" s="56"/>
      <c r="N150" s="56"/>
      <c r="O150" s="56"/>
      <c r="P150" s="112"/>
      <c r="Q150" s="112"/>
      <c r="R150" s="71"/>
      <c r="S150" s="71"/>
      <c r="T150" s="56"/>
    </row>
    <row r="151" spans="2:21" s="29" customFormat="1" ht="15.75" customHeight="1" x14ac:dyDescent="0.25">
      <c r="B151" s="56" t="s">
        <v>137</v>
      </c>
      <c r="C151" s="86" t="s">
        <v>481</v>
      </c>
      <c r="D151" s="56" t="s">
        <v>5</v>
      </c>
      <c r="E151" s="56" t="s">
        <v>1011</v>
      </c>
      <c r="F151" s="56"/>
      <c r="G151" s="56"/>
      <c r="H151" s="69" t="s">
        <v>1645</v>
      </c>
      <c r="I151" s="56"/>
      <c r="J151" s="56"/>
      <c r="K151" s="56"/>
      <c r="L151" s="56"/>
      <c r="M151" s="56"/>
      <c r="N151" s="56"/>
      <c r="O151" s="56"/>
      <c r="P151" s="112"/>
      <c r="Q151" s="112"/>
      <c r="R151" s="71"/>
      <c r="S151" s="71"/>
      <c r="T151" s="56"/>
    </row>
    <row r="152" spans="2:21" s="29" customFormat="1" ht="15.75" customHeight="1" x14ac:dyDescent="0.25">
      <c r="B152" s="56" t="s">
        <v>137</v>
      </c>
      <c r="C152" s="86" t="s">
        <v>481</v>
      </c>
      <c r="D152" s="56" t="s">
        <v>208</v>
      </c>
      <c r="E152" s="56" t="s">
        <v>209</v>
      </c>
      <c r="F152" s="56"/>
      <c r="G152" s="56"/>
      <c r="H152" s="69" t="s">
        <v>1645</v>
      </c>
      <c r="I152" s="56"/>
      <c r="J152" s="56" t="s">
        <v>491</v>
      </c>
      <c r="K152" s="56"/>
      <c r="L152" s="56"/>
      <c r="M152" s="56"/>
      <c r="N152" s="56"/>
      <c r="O152" s="56"/>
      <c r="P152" s="112" t="s">
        <v>491</v>
      </c>
      <c r="Q152" s="112"/>
      <c r="R152" s="71"/>
      <c r="S152" s="71"/>
      <c r="T152" s="56"/>
    </row>
    <row r="153" spans="2:21" s="29" customFormat="1" ht="15.75" customHeight="1" x14ac:dyDescent="0.25">
      <c r="B153" s="56" t="s">
        <v>137</v>
      </c>
      <c r="C153" s="86" t="s">
        <v>481</v>
      </c>
      <c r="D153" s="56" t="s">
        <v>212</v>
      </c>
      <c r="E153" s="56" t="s">
        <v>213</v>
      </c>
      <c r="F153" s="56"/>
      <c r="G153" s="56"/>
      <c r="H153" s="69" t="s">
        <v>1645</v>
      </c>
      <c r="I153" s="56"/>
      <c r="J153" s="56" t="s">
        <v>491</v>
      </c>
      <c r="K153" s="56"/>
      <c r="L153" s="56"/>
      <c r="M153" s="56"/>
      <c r="N153" s="56"/>
      <c r="O153" s="56"/>
      <c r="P153" s="112" t="s">
        <v>491</v>
      </c>
      <c r="Q153" s="112"/>
      <c r="R153" s="71"/>
      <c r="S153" s="71"/>
      <c r="T153" s="56"/>
    </row>
    <row r="154" spans="2:21" s="29" customFormat="1" ht="15.75" customHeight="1" x14ac:dyDescent="0.25">
      <c r="B154" s="56" t="s">
        <v>137</v>
      </c>
      <c r="C154" s="86" t="s">
        <v>481</v>
      </c>
      <c r="D154" s="56" t="s">
        <v>214</v>
      </c>
      <c r="E154" s="56" t="s">
        <v>215</v>
      </c>
      <c r="F154" s="56"/>
      <c r="G154" s="56"/>
      <c r="H154" s="69" t="s">
        <v>1645</v>
      </c>
      <c r="I154" s="56"/>
      <c r="J154" s="56" t="s">
        <v>491</v>
      </c>
      <c r="K154" s="56"/>
      <c r="L154" s="56"/>
      <c r="M154" s="56"/>
      <c r="N154" s="56"/>
      <c r="O154" s="56"/>
      <c r="P154" s="112" t="s">
        <v>491</v>
      </c>
      <c r="Q154" s="112"/>
      <c r="R154" s="71"/>
      <c r="S154" s="71"/>
      <c r="T154" s="56"/>
    </row>
    <row r="155" spans="2:21" s="29" customFormat="1" ht="15.75" customHeight="1" x14ac:dyDescent="0.25">
      <c r="B155" s="56" t="s">
        <v>137</v>
      </c>
      <c r="C155" s="86" t="s">
        <v>481</v>
      </c>
      <c r="D155" s="56" t="s">
        <v>216</v>
      </c>
      <c r="E155" s="56" t="s">
        <v>217</v>
      </c>
      <c r="F155" s="56"/>
      <c r="G155" s="56"/>
      <c r="H155" s="69" t="s">
        <v>1645</v>
      </c>
      <c r="I155" s="56"/>
      <c r="J155" s="56"/>
      <c r="K155" s="56"/>
      <c r="L155" s="56"/>
      <c r="M155" s="56"/>
      <c r="N155" s="56"/>
      <c r="O155" s="56"/>
      <c r="P155" s="112"/>
      <c r="Q155" s="112"/>
      <c r="R155" s="71"/>
      <c r="S155" s="71"/>
      <c r="T155" s="56"/>
    </row>
    <row r="156" spans="2:21" s="29" customFormat="1" ht="15.75" customHeight="1" x14ac:dyDescent="0.25">
      <c r="B156" s="56" t="s">
        <v>137</v>
      </c>
      <c r="C156" s="86" t="s">
        <v>481</v>
      </c>
      <c r="D156" s="56" t="s">
        <v>234</v>
      </c>
      <c r="E156" s="56" t="s">
        <v>235</v>
      </c>
      <c r="F156" s="56"/>
      <c r="G156" s="56"/>
      <c r="H156" s="69" t="s">
        <v>1645</v>
      </c>
      <c r="I156" s="56"/>
      <c r="J156" s="56"/>
      <c r="K156" s="56"/>
      <c r="L156" s="56"/>
      <c r="M156" s="56"/>
      <c r="N156" s="56"/>
      <c r="O156" s="56"/>
      <c r="P156" s="112"/>
      <c r="Q156" s="112"/>
      <c r="R156" s="71"/>
      <c r="S156" s="71"/>
      <c r="T156" s="56"/>
    </row>
    <row r="157" spans="2:21" s="29" customFormat="1" ht="15.75" customHeight="1" x14ac:dyDescent="0.25">
      <c r="B157" s="56"/>
      <c r="C157" s="56"/>
      <c r="D157" s="56"/>
      <c r="E157" s="56"/>
      <c r="F157" s="56"/>
      <c r="G157" s="56"/>
      <c r="H157" s="56"/>
      <c r="I157" s="56"/>
      <c r="J157" s="56"/>
      <c r="K157" s="56"/>
      <c r="L157" s="56"/>
      <c r="M157" s="56"/>
      <c r="N157" s="56"/>
      <c r="O157" s="56"/>
      <c r="P157" s="112"/>
      <c r="Q157" s="112"/>
      <c r="R157" s="71"/>
      <c r="S157" s="71"/>
      <c r="T157" s="56"/>
    </row>
    <row r="158" spans="2:21" s="29" customFormat="1" ht="15.75" customHeight="1" thickBot="1" x14ac:dyDescent="0.3">
      <c r="B158" s="56"/>
      <c r="C158" s="56"/>
      <c r="D158" s="56"/>
      <c r="E158" s="56"/>
      <c r="F158" s="56"/>
      <c r="G158" s="56"/>
      <c r="H158" s="56"/>
      <c r="I158" s="56"/>
      <c r="J158" s="56"/>
      <c r="K158" s="72"/>
      <c r="L158" s="72"/>
      <c r="M158" s="72"/>
      <c r="N158" s="72"/>
      <c r="O158" s="72"/>
      <c r="P158" s="114"/>
      <c r="Q158" s="114"/>
      <c r="R158" s="115"/>
      <c r="S158" s="115"/>
      <c r="T158" s="56"/>
    </row>
    <row r="159" spans="2:21" s="29" customFormat="1" ht="15.75" customHeight="1" thickTop="1" x14ac:dyDescent="0.25">
      <c r="B159" s="74"/>
      <c r="C159" s="74"/>
      <c r="D159" s="74"/>
      <c r="E159" s="74"/>
      <c r="F159" s="74"/>
      <c r="G159" s="74"/>
      <c r="H159" s="74"/>
      <c r="I159" s="74"/>
      <c r="J159" s="74"/>
      <c r="K159" s="56"/>
      <c r="L159" s="56"/>
      <c r="M159" s="56"/>
      <c r="N159" s="56"/>
      <c r="O159" s="56"/>
      <c r="P159" s="116"/>
      <c r="Q159" s="112"/>
      <c r="R159" s="71"/>
      <c r="S159" s="71"/>
      <c r="T159" s="56"/>
    </row>
    <row r="160" spans="2:21" s="29" customFormat="1" ht="15.75" customHeight="1" x14ac:dyDescent="0.25">
      <c r="B160" s="56" t="s">
        <v>236</v>
      </c>
      <c r="C160" s="56" t="s">
        <v>237</v>
      </c>
      <c r="D160" s="56" t="s">
        <v>238</v>
      </c>
      <c r="E160" s="56" t="s">
        <v>239</v>
      </c>
      <c r="F160" s="56"/>
      <c r="G160" s="102">
        <v>0.4</v>
      </c>
      <c r="H160" s="102">
        <v>1.9</v>
      </c>
      <c r="I160" s="102">
        <v>2.2000000000000002</v>
      </c>
      <c r="J160" s="56">
        <v>2018</v>
      </c>
      <c r="K160" s="56"/>
      <c r="L160" s="56"/>
      <c r="M160" s="56" t="s">
        <v>693</v>
      </c>
      <c r="N160" s="56" t="s">
        <v>1059</v>
      </c>
      <c r="O160" s="56" t="s">
        <v>1381</v>
      </c>
      <c r="P160" s="112" t="s">
        <v>19</v>
      </c>
      <c r="Q160" s="112" t="s">
        <v>856</v>
      </c>
      <c r="R160" s="71" t="s">
        <v>1378</v>
      </c>
      <c r="S160" s="71" t="s">
        <v>1382</v>
      </c>
      <c r="T160" s="56"/>
      <c r="U160" s="29" t="s">
        <v>508</v>
      </c>
    </row>
    <row r="161" spans="1:21" s="29" customFormat="1" ht="15.75" customHeight="1" x14ac:dyDescent="0.25">
      <c r="B161" s="56" t="s">
        <v>236</v>
      </c>
      <c r="C161" s="56" t="s">
        <v>237</v>
      </c>
      <c r="D161" s="56" t="s">
        <v>240</v>
      </c>
      <c r="E161" s="56" t="s">
        <v>241</v>
      </c>
      <c r="F161" s="56"/>
      <c r="G161" s="56"/>
      <c r="H161" s="56">
        <v>6.9</v>
      </c>
      <c r="I161" s="56"/>
      <c r="J161" s="56">
        <v>2018</v>
      </c>
      <c r="K161" s="56"/>
      <c r="L161" s="56"/>
      <c r="M161" s="56"/>
      <c r="N161" s="56"/>
      <c r="O161" s="56"/>
      <c r="P161" s="112" t="s">
        <v>514</v>
      </c>
      <c r="Q161" s="112" t="s">
        <v>846</v>
      </c>
      <c r="R161" s="71" t="s">
        <v>1585</v>
      </c>
      <c r="S161" s="71"/>
      <c r="T161" s="56"/>
      <c r="U161" s="29" t="s">
        <v>508</v>
      </c>
    </row>
    <row r="162" spans="1:21" s="29" customFormat="1" ht="15.75" customHeight="1" x14ac:dyDescent="0.25">
      <c r="B162" s="56" t="s">
        <v>236</v>
      </c>
      <c r="C162" s="56" t="s">
        <v>237</v>
      </c>
      <c r="D162" s="56" t="s">
        <v>242</v>
      </c>
      <c r="E162" s="56" t="s">
        <v>243</v>
      </c>
      <c r="F162" s="56"/>
      <c r="G162" s="56">
        <v>1.53</v>
      </c>
      <c r="H162" s="102">
        <v>2.2000000000000002</v>
      </c>
      <c r="I162" s="56">
        <v>2.99</v>
      </c>
      <c r="J162" s="56">
        <v>2015</v>
      </c>
      <c r="K162" s="56" t="s">
        <v>713</v>
      </c>
      <c r="L162" s="56" t="s">
        <v>692</v>
      </c>
      <c r="M162" s="56" t="s">
        <v>693</v>
      </c>
      <c r="N162" s="56" t="s">
        <v>1037</v>
      </c>
      <c r="O162" s="70" t="s">
        <v>1285</v>
      </c>
      <c r="P162" s="112" t="s">
        <v>15</v>
      </c>
      <c r="Q162" s="112" t="s">
        <v>856</v>
      </c>
      <c r="R162" s="71" t="s">
        <v>1286</v>
      </c>
      <c r="S162" s="71"/>
      <c r="T162" s="56"/>
      <c r="U162" s="29" t="s">
        <v>508</v>
      </c>
    </row>
    <row r="163" spans="1:21" s="29" customFormat="1" ht="15.75" customHeight="1" x14ac:dyDescent="0.25">
      <c r="B163" s="56" t="s">
        <v>236</v>
      </c>
      <c r="C163" s="56" t="s">
        <v>237</v>
      </c>
      <c r="D163" s="56" t="s">
        <v>244</v>
      </c>
      <c r="E163" s="56" t="s">
        <v>245</v>
      </c>
      <c r="F163" s="56"/>
      <c r="G163" s="56"/>
      <c r="H163" s="56">
        <v>7.9</v>
      </c>
      <c r="I163" s="56"/>
      <c r="J163" s="56">
        <v>2018</v>
      </c>
      <c r="K163" s="56"/>
      <c r="L163" s="56"/>
      <c r="M163" s="56"/>
      <c r="N163" s="56"/>
      <c r="O163" s="117"/>
      <c r="P163" s="112" t="s">
        <v>514</v>
      </c>
      <c r="Q163" s="112" t="s">
        <v>1008</v>
      </c>
      <c r="R163" s="71" t="s">
        <v>1501</v>
      </c>
      <c r="S163" s="118"/>
      <c r="T163" s="56"/>
    </row>
    <row r="164" spans="1:21" s="29" customFormat="1" ht="15.75" customHeight="1" x14ac:dyDescent="0.25">
      <c r="B164" s="56" t="s">
        <v>236</v>
      </c>
      <c r="C164" s="56" t="s">
        <v>237</v>
      </c>
      <c r="D164" s="56" t="s">
        <v>248</v>
      </c>
      <c r="E164" s="56" t="s">
        <v>249</v>
      </c>
      <c r="F164" s="56"/>
      <c r="G164" s="56"/>
      <c r="H164" s="56">
        <v>14.3</v>
      </c>
      <c r="I164" s="56"/>
      <c r="J164" s="56">
        <v>2017</v>
      </c>
      <c r="K164" s="56"/>
      <c r="L164" s="56"/>
      <c r="M164" s="56"/>
      <c r="N164" s="56"/>
      <c r="O164" s="56"/>
      <c r="P164" s="112" t="s">
        <v>514</v>
      </c>
      <c r="Q164" s="112" t="s">
        <v>961</v>
      </c>
      <c r="R164" s="71" t="s">
        <v>1586</v>
      </c>
      <c r="S164" s="71"/>
      <c r="T164" s="56"/>
      <c r="U164" s="29" t="s">
        <v>508</v>
      </c>
    </row>
    <row r="165" spans="1:21" s="29" customFormat="1" ht="15.75" customHeight="1" x14ac:dyDescent="0.25">
      <c r="B165" s="56" t="s">
        <v>236</v>
      </c>
      <c r="C165" s="56" t="s">
        <v>237</v>
      </c>
      <c r="D165" s="56" t="s">
        <v>250</v>
      </c>
      <c r="E165" s="56" t="s">
        <v>251</v>
      </c>
      <c r="F165" s="56"/>
      <c r="G165" s="56"/>
      <c r="H165" s="56">
        <v>12.1</v>
      </c>
      <c r="I165" s="56"/>
      <c r="J165" s="56">
        <v>2018</v>
      </c>
      <c r="K165" s="56" t="s">
        <v>695</v>
      </c>
      <c r="L165" s="56" t="s">
        <v>692</v>
      </c>
      <c r="M165" s="56" t="s">
        <v>693</v>
      </c>
      <c r="N165" s="56" t="s">
        <v>1528</v>
      </c>
      <c r="O165" s="56">
        <v>2390</v>
      </c>
      <c r="P165" s="112" t="s">
        <v>514</v>
      </c>
      <c r="Q165" s="112" t="s">
        <v>1527</v>
      </c>
      <c r="R165" s="71" t="s">
        <v>1587</v>
      </c>
      <c r="S165" s="71" t="s">
        <v>1526</v>
      </c>
      <c r="T165" s="56"/>
    </row>
    <row r="166" spans="1:21" s="29" customFormat="1" ht="15.75" customHeight="1" x14ac:dyDescent="0.25">
      <c r="B166" s="56" t="s">
        <v>236</v>
      </c>
      <c r="C166" s="56" t="s">
        <v>237</v>
      </c>
      <c r="D166" s="56" t="s">
        <v>246</v>
      </c>
      <c r="E166" s="56" t="s">
        <v>247</v>
      </c>
      <c r="F166" s="56"/>
      <c r="G166" s="56"/>
      <c r="H166" s="56">
        <v>5.0999999999999996</v>
      </c>
      <c r="I166" s="56"/>
      <c r="J166" s="56">
        <v>2017</v>
      </c>
      <c r="K166" s="56"/>
      <c r="L166" s="56"/>
      <c r="M166" s="56"/>
      <c r="N166" s="56"/>
      <c r="O166" s="56"/>
      <c r="P166" s="112" t="s">
        <v>1504</v>
      </c>
      <c r="Q166" s="112" t="s">
        <v>857</v>
      </c>
      <c r="R166" s="71" t="s">
        <v>1588</v>
      </c>
      <c r="S166" s="71"/>
      <c r="T166" s="56"/>
      <c r="U166" s="29" t="s">
        <v>508</v>
      </c>
    </row>
    <row r="167" spans="1:21" s="29" customFormat="1" ht="15.75" customHeight="1" x14ac:dyDescent="0.25">
      <c r="B167" s="56"/>
      <c r="C167" s="56"/>
      <c r="D167" s="56"/>
      <c r="E167" s="56"/>
      <c r="F167" s="56"/>
      <c r="G167" s="56"/>
      <c r="H167" s="56"/>
      <c r="I167" s="56"/>
      <c r="J167" s="56"/>
      <c r="K167" s="56"/>
      <c r="L167" s="56"/>
      <c r="M167" s="56"/>
      <c r="N167" s="56"/>
      <c r="O167" s="56"/>
      <c r="P167" s="112"/>
      <c r="Q167" s="112"/>
      <c r="R167" s="71"/>
      <c r="S167" s="71"/>
      <c r="T167" s="56"/>
    </row>
    <row r="168" spans="1:21" s="29" customFormat="1" ht="15.75" customHeight="1" x14ac:dyDescent="0.25">
      <c r="B168" s="56"/>
      <c r="C168" s="56"/>
      <c r="D168" s="56"/>
      <c r="E168" s="56"/>
      <c r="F168" s="56"/>
      <c r="G168" s="56"/>
      <c r="H168" s="56"/>
      <c r="I168" s="56"/>
      <c r="J168" s="56"/>
      <c r="K168" s="56"/>
      <c r="L168" s="56"/>
      <c r="M168" s="56"/>
      <c r="N168" s="56"/>
      <c r="O168" s="56"/>
      <c r="P168" s="112"/>
      <c r="Q168" s="112"/>
      <c r="R168" s="71"/>
      <c r="S168" s="71"/>
      <c r="T168" s="56"/>
    </row>
    <row r="169" spans="1:21" s="29" customFormat="1" ht="15.75" customHeight="1" x14ac:dyDescent="0.25">
      <c r="B169" s="56" t="s">
        <v>236</v>
      </c>
      <c r="C169" s="56" t="s">
        <v>237</v>
      </c>
      <c r="D169" s="56" t="s">
        <v>252</v>
      </c>
      <c r="E169" s="56" t="s">
        <v>253</v>
      </c>
      <c r="F169" s="56"/>
      <c r="G169" s="102"/>
      <c r="H169" s="69" t="s">
        <v>1645</v>
      </c>
      <c r="I169" s="102"/>
      <c r="J169" s="56" t="s">
        <v>491</v>
      </c>
      <c r="K169" s="56"/>
      <c r="L169" s="56"/>
      <c r="M169" s="56"/>
      <c r="N169" s="56"/>
      <c r="O169" s="56"/>
      <c r="P169" s="112" t="s">
        <v>491</v>
      </c>
      <c r="Q169" s="112"/>
      <c r="R169" s="71"/>
      <c r="S169" s="71"/>
      <c r="T169" s="56"/>
    </row>
    <row r="170" spans="1:21" s="29" customFormat="1" ht="15.75" customHeight="1" thickBot="1" x14ac:dyDescent="0.3">
      <c r="B170" s="56"/>
      <c r="C170" s="56"/>
      <c r="D170" s="56"/>
      <c r="E170" s="56"/>
      <c r="F170" s="56"/>
      <c r="G170" s="56"/>
      <c r="H170" s="56"/>
      <c r="I170" s="56"/>
      <c r="J170" s="56"/>
      <c r="K170" s="56"/>
      <c r="L170" s="56"/>
      <c r="M170" s="56"/>
      <c r="N170" s="56"/>
      <c r="O170" s="56"/>
      <c r="P170" s="112"/>
      <c r="Q170" s="112"/>
      <c r="R170" s="71"/>
      <c r="S170" s="71"/>
      <c r="T170" s="56"/>
    </row>
    <row r="171" spans="1:21" s="29" customFormat="1" ht="15.75" customHeight="1" thickTop="1" x14ac:dyDescent="0.25">
      <c r="B171" s="74"/>
      <c r="C171" s="74"/>
      <c r="D171" s="74"/>
      <c r="E171" s="74"/>
      <c r="F171" s="74"/>
      <c r="G171" s="74"/>
      <c r="H171" s="74"/>
      <c r="I171" s="74"/>
      <c r="J171" s="74"/>
      <c r="K171" s="56"/>
      <c r="L171" s="56"/>
      <c r="M171" s="56"/>
      <c r="N171" s="56"/>
      <c r="O171" s="56"/>
      <c r="P171" s="116"/>
      <c r="Q171" s="112"/>
      <c r="R171" s="71"/>
      <c r="S171" s="71"/>
      <c r="T171" s="56"/>
    </row>
    <row r="172" spans="1:21" s="29" customFormat="1" ht="15.75" customHeight="1" x14ac:dyDescent="0.25">
      <c r="B172" s="56" t="s">
        <v>236</v>
      </c>
      <c r="C172" s="56" t="s">
        <v>254</v>
      </c>
      <c r="D172" s="56" t="s">
        <v>279</v>
      </c>
      <c r="E172" s="56" t="s">
        <v>280</v>
      </c>
      <c r="F172" s="56"/>
      <c r="G172" s="56"/>
      <c r="H172" s="56">
        <v>0</v>
      </c>
      <c r="I172" s="56"/>
      <c r="J172" s="56">
        <v>2013</v>
      </c>
      <c r="K172" s="56"/>
      <c r="L172" s="56"/>
      <c r="M172" s="56"/>
      <c r="N172" s="56"/>
      <c r="O172" s="56"/>
      <c r="P172" s="112" t="s">
        <v>479</v>
      </c>
      <c r="Q172" s="112" t="s">
        <v>855</v>
      </c>
      <c r="R172" s="71" t="s">
        <v>21</v>
      </c>
      <c r="S172" s="71"/>
      <c r="T172" s="56"/>
    </row>
    <row r="173" spans="1:21" s="29" customFormat="1" ht="15.75" customHeight="1" x14ac:dyDescent="0.25">
      <c r="B173" s="56" t="s">
        <v>236</v>
      </c>
      <c r="C173" s="56" t="s">
        <v>254</v>
      </c>
      <c r="D173" s="56" t="s">
        <v>255</v>
      </c>
      <c r="E173" s="56" t="s">
        <v>256</v>
      </c>
      <c r="F173" s="56"/>
      <c r="G173" s="56">
        <v>11.6</v>
      </c>
      <c r="H173" s="56">
        <v>15.2</v>
      </c>
      <c r="I173" s="56">
        <v>19.600000000000001</v>
      </c>
      <c r="J173" s="56">
        <v>2017</v>
      </c>
      <c r="K173" s="56" t="s">
        <v>691</v>
      </c>
      <c r="L173" s="56" t="s">
        <v>692</v>
      </c>
      <c r="M173" s="56" t="s">
        <v>693</v>
      </c>
      <c r="N173" s="56" t="s">
        <v>1236</v>
      </c>
      <c r="O173" s="56">
        <v>310</v>
      </c>
      <c r="P173" s="112" t="s">
        <v>1477</v>
      </c>
      <c r="Q173" s="112" t="s">
        <v>845</v>
      </c>
      <c r="R173" s="71" t="s">
        <v>1475</v>
      </c>
      <c r="S173" s="71"/>
      <c r="T173" s="56"/>
      <c r="U173" s="29" t="s">
        <v>508</v>
      </c>
    </row>
    <row r="174" spans="1:21" s="29" customFormat="1" ht="15.75" customHeight="1" x14ac:dyDescent="0.25">
      <c r="A174" s="32"/>
      <c r="B174" s="56" t="s">
        <v>236</v>
      </c>
      <c r="C174" s="56" t="s">
        <v>254</v>
      </c>
      <c r="D174" s="56" t="s">
        <v>281</v>
      </c>
      <c r="E174" s="56" t="s">
        <v>282</v>
      </c>
      <c r="F174" s="56"/>
      <c r="G174" s="102">
        <v>6</v>
      </c>
      <c r="H174" s="56">
        <v>8.41</v>
      </c>
      <c r="I174" s="56">
        <v>10.3</v>
      </c>
      <c r="J174" s="56">
        <v>2012</v>
      </c>
      <c r="K174" s="56"/>
      <c r="L174" s="56"/>
      <c r="M174" s="56"/>
      <c r="N174" s="56"/>
      <c r="O174" s="56"/>
      <c r="P174" s="112" t="s">
        <v>514</v>
      </c>
      <c r="Q174" s="112" t="s">
        <v>846</v>
      </c>
      <c r="R174" s="71" t="s">
        <v>1520</v>
      </c>
      <c r="S174" s="71"/>
      <c r="T174" s="56"/>
      <c r="U174" s="29" t="s">
        <v>508</v>
      </c>
    </row>
    <row r="175" spans="1:21" s="29" customFormat="1" ht="15.75" customHeight="1" x14ac:dyDescent="0.25">
      <c r="A175" s="32"/>
      <c r="B175" s="56" t="s">
        <v>236</v>
      </c>
      <c r="C175" s="56" t="s">
        <v>254</v>
      </c>
      <c r="D175" s="56" t="s">
        <v>257</v>
      </c>
      <c r="E175" s="56" t="s">
        <v>258</v>
      </c>
      <c r="F175" s="56"/>
      <c r="G175" s="56"/>
      <c r="H175" s="56">
        <v>1.1299999999999999</v>
      </c>
      <c r="I175" s="56"/>
      <c r="J175" s="56">
        <v>2016</v>
      </c>
      <c r="K175" s="56"/>
      <c r="L175" s="56"/>
      <c r="M175" s="56"/>
      <c r="N175" s="56"/>
      <c r="O175" s="56"/>
      <c r="P175" s="112" t="s">
        <v>480</v>
      </c>
      <c r="Q175" s="112" t="s">
        <v>855</v>
      </c>
      <c r="R175" s="71" t="s">
        <v>1137</v>
      </c>
      <c r="S175" s="71" t="s">
        <v>978</v>
      </c>
      <c r="T175" s="56"/>
    </row>
    <row r="176" spans="1:21" s="29" customFormat="1" ht="15.75" customHeight="1" x14ac:dyDescent="0.25">
      <c r="B176" s="56" t="s">
        <v>236</v>
      </c>
      <c r="C176" s="56" t="s">
        <v>254</v>
      </c>
      <c r="D176" s="56" t="s">
        <v>259</v>
      </c>
      <c r="E176" s="56" t="s">
        <v>260</v>
      </c>
      <c r="F176" s="56"/>
      <c r="G176" s="102"/>
      <c r="H176" s="102">
        <v>1E-3</v>
      </c>
      <c r="I176" s="102"/>
      <c r="J176" s="56">
        <v>2017</v>
      </c>
      <c r="K176" s="56"/>
      <c r="L176" s="56"/>
      <c r="M176" s="56"/>
      <c r="N176" s="56"/>
      <c r="O176" s="56"/>
      <c r="P176" s="112" t="s">
        <v>480</v>
      </c>
      <c r="Q176" s="112" t="s">
        <v>855</v>
      </c>
      <c r="R176" s="71" t="s">
        <v>1262</v>
      </c>
      <c r="S176" s="71" t="s">
        <v>1263</v>
      </c>
      <c r="T176" s="56"/>
    </row>
    <row r="177" spans="1:22" s="29" customFormat="1" ht="15.75" customHeight="1" x14ac:dyDescent="0.25">
      <c r="B177" s="56" t="s">
        <v>236</v>
      </c>
      <c r="C177" s="56" t="s">
        <v>254</v>
      </c>
      <c r="D177" s="56" t="s">
        <v>261</v>
      </c>
      <c r="E177" s="56" t="s">
        <v>262</v>
      </c>
      <c r="F177" s="56"/>
      <c r="G177" s="102"/>
      <c r="H177" s="69">
        <v>28.76</v>
      </c>
      <c r="I177" s="102"/>
      <c r="J177" s="56">
        <v>2015</v>
      </c>
      <c r="K177" s="56" t="s">
        <v>691</v>
      </c>
      <c r="L177" s="56" t="s">
        <v>696</v>
      </c>
      <c r="M177" s="56" t="s">
        <v>693</v>
      </c>
      <c r="N177" s="56" t="s">
        <v>1272</v>
      </c>
      <c r="O177" s="56" t="s">
        <v>1273</v>
      </c>
      <c r="P177" s="112" t="s">
        <v>1275</v>
      </c>
      <c r="Q177" s="112" t="s">
        <v>845</v>
      </c>
      <c r="R177" s="71" t="s">
        <v>1274</v>
      </c>
      <c r="S177" s="71"/>
      <c r="T177" s="56"/>
      <c r="U177" s="29" t="s">
        <v>508</v>
      </c>
      <c r="V177" s="29" t="s">
        <v>508</v>
      </c>
    </row>
    <row r="178" spans="1:22" s="29" customFormat="1" ht="15.75" customHeight="1" x14ac:dyDescent="0.25">
      <c r="A178" s="32"/>
      <c r="B178" s="56" t="s">
        <v>236</v>
      </c>
      <c r="C178" s="56" t="s">
        <v>254</v>
      </c>
      <c r="D178" s="56" t="s">
        <v>263</v>
      </c>
      <c r="E178" s="56" t="s">
        <v>264</v>
      </c>
      <c r="F178" s="56"/>
      <c r="G178" s="56"/>
      <c r="H178" s="119">
        <v>0.02</v>
      </c>
      <c r="I178" s="56"/>
      <c r="J178" s="56">
        <v>2014</v>
      </c>
      <c r="K178" s="56"/>
      <c r="L178" s="56"/>
      <c r="M178" s="56"/>
      <c r="N178" s="56" t="s">
        <v>697</v>
      </c>
      <c r="O178" s="56"/>
      <c r="P178" s="112" t="s">
        <v>654</v>
      </c>
      <c r="Q178" s="112" t="s">
        <v>855</v>
      </c>
      <c r="R178" s="71" t="s">
        <v>655</v>
      </c>
      <c r="S178" s="71" t="s">
        <v>870</v>
      </c>
      <c r="T178" s="56"/>
    </row>
    <row r="179" spans="1:22" s="29" customFormat="1" ht="15.75" customHeight="1" x14ac:dyDescent="0.25">
      <c r="B179" s="56" t="s">
        <v>236</v>
      </c>
      <c r="C179" s="56" t="s">
        <v>254</v>
      </c>
      <c r="D179" s="56" t="s">
        <v>268</v>
      </c>
      <c r="E179" s="56" t="s">
        <v>269</v>
      </c>
      <c r="F179" s="56"/>
      <c r="G179" s="56"/>
      <c r="H179" s="56">
        <v>13.4</v>
      </c>
      <c r="I179" s="56"/>
      <c r="J179" s="56">
        <v>2017</v>
      </c>
      <c r="K179" s="56"/>
      <c r="L179" s="56"/>
      <c r="M179" s="56"/>
      <c r="N179" s="56"/>
      <c r="O179" s="56">
        <v>1413</v>
      </c>
      <c r="P179" s="112" t="s">
        <v>1417</v>
      </c>
      <c r="Q179" s="112" t="s">
        <v>961</v>
      </c>
      <c r="R179" s="71" t="s">
        <v>1589</v>
      </c>
      <c r="S179" s="71" t="s">
        <v>1418</v>
      </c>
      <c r="T179" s="56"/>
      <c r="U179" s="29" t="s">
        <v>508</v>
      </c>
    </row>
    <row r="180" spans="1:22" s="29" customFormat="1" ht="15.75" customHeight="1" x14ac:dyDescent="0.25">
      <c r="A180" s="32"/>
      <c r="B180" s="56" t="s">
        <v>236</v>
      </c>
      <c r="C180" s="56" t="s">
        <v>254</v>
      </c>
      <c r="D180" s="56" t="s">
        <v>270</v>
      </c>
      <c r="E180" s="56" t="s">
        <v>271</v>
      </c>
      <c r="F180" s="56"/>
      <c r="G180" s="102">
        <v>33</v>
      </c>
      <c r="H180" s="56">
        <v>34.9</v>
      </c>
      <c r="I180" s="56">
        <v>36.799999999999997</v>
      </c>
      <c r="J180" s="56">
        <v>2017</v>
      </c>
      <c r="K180" s="56" t="s">
        <v>713</v>
      </c>
      <c r="L180" s="56" t="s">
        <v>696</v>
      </c>
      <c r="M180" s="56" t="s">
        <v>693</v>
      </c>
      <c r="N180" s="56" t="s">
        <v>1265</v>
      </c>
      <c r="O180" s="56" t="s">
        <v>1266</v>
      </c>
      <c r="P180" s="112" t="s">
        <v>1354</v>
      </c>
      <c r="Q180" s="112" t="s">
        <v>845</v>
      </c>
      <c r="R180" s="71" t="s">
        <v>1328</v>
      </c>
      <c r="S180" s="71"/>
      <c r="T180" s="56"/>
      <c r="U180" s="29" t="s">
        <v>508</v>
      </c>
    </row>
    <row r="181" spans="1:22" s="29" customFormat="1" ht="15.75" customHeight="1" x14ac:dyDescent="0.25">
      <c r="A181" s="32"/>
      <c r="B181" s="56" t="s">
        <v>236</v>
      </c>
      <c r="C181" s="56" t="s">
        <v>254</v>
      </c>
      <c r="D181" s="56" t="s">
        <v>272</v>
      </c>
      <c r="E181" s="56" t="s">
        <v>273</v>
      </c>
      <c r="F181" s="56"/>
      <c r="G181" s="56"/>
      <c r="H181" s="56">
        <v>29</v>
      </c>
      <c r="I181" s="56"/>
      <c r="J181" s="56">
        <v>2015</v>
      </c>
      <c r="K181" s="56" t="s">
        <v>695</v>
      </c>
      <c r="L181" s="56" t="s">
        <v>696</v>
      </c>
      <c r="M181" s="56" t="s">
        <v>693</v>
      </c>
      <c r="N181" s="56" t="s">
        <v>811</v>
      </c>
      <c r="O181" s="56" t="s">
        <v>812</v>
      </c>
      <c r="P181" s="112" t="s">
        <v>652</v>
      </c>
      <c r="Q181" s="112" t="s">
        <v>845</v>
      </c>
      <c r="R181" s="71" t="s">
        <v>913</v>
      </c>
      <c r="S181" s="71"/>
      <c r="T181" s="56"/>
      <c r="U181" s="29" t="s">
        <v>508</v>
      </c>
    </row>
    <row r="182" spans="1:22" s="29" customFormat="1" ht="15.75" customHeight="1" x14ac:dyDescent="0.25">
      <c r="A182" s="32"/>
      <c r="B182" s="56" t="s">
        <v>236</v>
      </c>
      <c r="C182" s="56" t="s">
        <v>254</v>
      </c>
      <c r="D182" s="56" t="s">
        <v>265</v>
      </c>
      <c r="E182" s="56" t="s">
        <v>496</v>
      </c>
      <c r="F182" s="56"/>
      <c r="G182" s="56"/>
      <c r="H182" s="56">
        <v>0</v>
      </c>
      <c r="I182" s="56"/>
      <c r="J182" s="78" t="s">
        <v>1156</v>
      </c>
      <c r="K182" s="56"/>
      <c r="L182" s="56"/>
      <c r="M182" s="56" t="s">
        <v>693</v>
      </c>
      <c r="N182" s="56"/>
      <c r="O182" s="56" t="s">
        <v>1157</v>
      </c>
      <c r="P182" s="112" t="s">
        <v>643</v>
      </c>
      <c r="Q182" s="112" t="s">
        <v>1053</v>
      </c>
      <c r="R182" s="71" t="s">
        <v>1158</v>
      </c>
      <c r="S182" s="71"/>
      <c r="T182" s="56"/>
    </row>
    <row r="183" spans="1:22" s="67" customFormat="1" ht="15.75" customHeight="1" x14ac:dyDescent="0.25">
      <c r="B183" s="94" t="s">
        <v>236</v>
      </c>
      <c r="C183" s="94" t="s">
        <v>254</v>
      </c>
      <c r="D183" s="94" t="s">
        <v>286</v>
      </c>
      <c r="E183" s="94" t="s">
        <v>287</v>
      </c>
      <c r="F183" s="94"/>
      <c r="G183" s="94"/>
      <c r="H183" s="94">
        <v>0.5</v>
      </c>
      <c r="I183" s="94"/>
      <c r="J183" s="94">
        <v>2017</v>
      </c>
      <c r="K183" s="94"/>
      <c r="L183" s="94"/>
      <c r="M183" s="94"/>
      <c r="N183" s="94"/>
      <c r="O183" s="94"/>
      <c r="P183" s="120" t="s">
        <v>480</v>
      </c>
      <c r="Q183" s="120" t="s">
        <v>1647</v>
      </c>
      <c r="R183" s="121" t="s">
        <v>1648</v>
      </c>
      <c r="S183" s="121" t="s">
        <v>1649</v>
      </c>
      <c r="T183" s="94"/>
    </row>
    <row r="184" spans="1:22" s="29" customFormat="1" ht="15.75" customHeight="1" x14ac:dyDescent="0.25">
      <c r="B184" s="56" t="s">
        <v>236</v>
      </c>
      <c r="C184" s="56" t="s">
        <v>254</v>
      </c>
      <c r="D184" s="56" t="s">
        <v>274</v>
      </c>
      <c r="E184" s="56" t="s">
        <v>1009</v>
      </c>
      <c r="F184" s="56"/>
      <c r="G184" s="56">
        <v>10</v>
      </c>
      <c r="H184" s="56">
        <v>11</v>
      </c>
      <c r="I184" s="56">
        <v>12</v>
      </c>
      <c r="J184" s="56">
        <v>2007</v>
      </c>
      <c r="K184" s="56"/>
      <c r="L184" s="56"/>
      <c r="M184" s="56"/>
      <c r="N184" s="56"/>
      <c r="O184" s="56"/>
      <c r="P184" s="112" t="s">
        <v>1521</v>
      </c>
      <c r="Q184" s="112" t="s">
        <v>1618</v>
      </c>
      <c r="R184" s="71" t="s">
        <v>1522</v>
      </c>
      <c r="S184" s="71"/>
      <c r="T184" s="56"/>
    </row>
    <row r="185" spans="1:22" s="29" customFormat="1" ht="15.75" customHeight="1" x14ac:dyDescent="0.25">
      <c r="B185" s="56" t="s">
        <v>236</v>
      </c>
      <c r="C185" s="56" t="s">
        <v>254</v>
      </c>
      <c r="D185" s="56" t="s">
        <v>275</v>
      </c>
      <c r="E185" s="56" t="s">
        <v>276</v>
      </c>
      <c r="F185" s="56"/>
      <c r="G185" s="56"/>
      <c r="H185" s="56">
        <v>20.5</v>
      </c>
      <c r="I185" s="56"/>
      <c r="J185" s="56">
        <v>2014</v>
      </c>
      <c r="K185" s="56"/>
      <c r="L185" s="56"/>
      <c r="M185" s="56"/>
      <c r="N185" s="56" t="s">
        <v>813</v>
      </c>
      <c r="O185" s="56" t="s">
        <v>508</v>
      </c>
      <c r="P185" s="112" t="s">
        <v>1342</v>
      </c>
      <c r="Q185" s="112" t="s">
        <v>845</v>
      </c>
      <c r="R185" s="71" t="s">
        <v>1341</v>
      </c>
      <c r="S185" s="71"/>
      <c r="T185" s="56"/>
      <c r="U185" s="29" t="s">
        <v>508</v>
      </c>
    </row>
    <row r="186" spans="1:22" s="29" customFormat="1" ht="15.75" customHeight="1" x14ac:dyDescent="0.25">
      <c r="B186" s="56" t="s">
        <v>236</v>
      </c>
      <c r="C186" s="56" t="s">
        <v>254</v>
      </c>
      <c r="D186" s="56" t="s">
        <v>277</v>
      </c>
      <c r="E186" s="56" t="s">
        <v>278</v>
      </c>
      <c r="F186" s="56"/>
      <c r="G186" s="56"/>
      <c r="H186" s="56">
        <v>14</v>
      </c>
      <c r="I186" s="56"/>
      <c r="J186" s="56">
        <v>2017</v>
      </c>
      <c r="K186" s="56"/>
      <c r="L186" s="56"/>
      <c r="M186" s="56"/>
      <c r="N186" s="56"/>
      <c r="O186" s="56"/>
      <c r="P186" s="112" t="s">
        <v>967</v>
      </c>
      <c r="Q186" s="112" t="s">
        <v>857</v>
      </c>
      <c r="R186" s="71" t="s">
        <v>1241</v>
      </c>
      <c r="S186" s="71"/>
      <c r="T186" s="56"/>
      <c r="U186" s="29" t="s">
        <v>508</v>
      </c>
    </row>
    <row r="187" spans="1:22" s="29" customFormat="1" ht="15.75" customHeight="1" x14ac:dyDescent="0.25">
      <c r="B187" s="56"/>
      <c r="C187" s="56"/>
      <c r="D187" s="56"/>
      <c r="E187" s="56"/>
      <c r="F187" s="56"/>
      <c r="G187" s="56"/>
      <c r="H187" s="56"/>
      <c r="I187" s="56"/>
      <c r="J187" s="56"/>
      <c r="K187" s="56"/>
      <c r="L187" s="56"/>
      <c r="M187" s="56"/>
      <c r="N187" s="56"/>
      <c r="O187" s="56"/>
      <c r="P187" s="112"/>
      <c r="Q187" s="112"/>
      <c r="R187" s="71"/>
      <c r="S187" s="71"/>
      <c r="T187" s="56"/>
    </row>
    <row r="188" spans="1:22" s="29" customFormat="1" ht="15.75" customHeight="1" x14ac:dyDescent="0.25">
      <c r="B188" s="56"/>
      <c r="C188" s="56"/>
      <c r="D188" s="56"/>
      <c r="E188" s="56"/>
      <c r="F188" s="56"/>
      <c r="G188" s="56"/>
      <c r="H188" s="56"/>
      <c r="I188" s="56"/>
      <c r="J188" s="56"/>
      <c r="K188" s="56"/>
      <c r="L188" s="56"/>
      <c r="M188" s="56"/>
      <c r="N188" s="56"/>
      <c r="O188" s="56"/>
      <c r="P188" s="112"/>
      <c r="Q188" s="112"/>
      <c r="R188" s="71"/>
      <c r="S188" s="71"/>
      <c r="T188" s="56"/>
    </row>
    <row r="189" spans="1:22" s="29" customFormat="1" ht="15.75" customHeight="1" x14ac:dyDescent="0.25">
      <c r="B189" s="56" t="s">
        <v>236</v>
      </c>
      <c r="C189" s="56" t="s">
        <v>254</v>
      </c>
      <c r="D189" s="56" t="s">
        <v>283</v>
      </c>
      <c r="E189" s="56" t="s">
        <v>942</v>
      </c>
      <c r="F189" s="56"/>
      <c r="G189" s="102"/>
      <c r="H189" s="69" t="s">
        <v>1645</v>
      </c>
      <c r="I189" s="102"/>
      <c r="J189" s="56" t="s">
        <v>491</v>
      </c>
      <c r="K189" s="56"/>
      <c r="L189" s="56"/>
      <c r="M189" s="56"/>
      <c r="N189" s="56"/>
      <c r="O189" s="56"/>
      <c r="P189" s="112" t="s">
        <v>491</v>
      </c>
      <c r="Q189" s="112"/>
      <c r="R189" s="71"/>
      <c r="S189" s="71"/>
      <c r="T189" s="56"/>
    </row>
    <row r="190" spans="1:22" s="29" customFormat="1" ht="15.75" customHeight="1" x14ac:dyDescent="0.25">
      <c r="B190" s="56" t="s">
        <v>236</v>
      </c>
      <c r="C190" s="56" t="s">
        <v>254</v>
      </c>
      <c r="D190" s="56" t="s">
        <v>266</v>
      </c>
      <c r="E190" s="56" t="s">
        <v>267</v>
      </c>
      <c r="F190" s="56"/>
      <c r="G190" s="102"/>
      <c r="H190" s="69" t="s">
        <v>1645</v>
      </c>
      <c r="I190" s="102"/>
      <c r="J190" s="56" t="s">
        <v>491</v>
      </c>
      <c r="K190" s="56"/>
      <c r="L190" s="56"/>
      <c r="M190" s="56"/>
      <c r="N190" s="56"/>
      <c r="O190" s="56"/>
      <c r="P190" s="112" t="s">
        <v>491</v>
      </c>
      <c r="Q190" s="112"/>
      <c r="R190" s="71"/>
      <c r="S190" s="71"/>
      <c r="T190" s="56"/>
    </row>
    <row r="191" spans="1:22" s="29" customFormat="1" ht="15.75" customHeight="1" x14ac:dyDescent="0.25">
      <c r="B191" s="56" t="s">
        <v>236</v>
      </c>
      <c r="C191" s="56" t="s">
        <v>254</v>
      </c>
      <c r="D191" s="56" t="s">
        <v>284</v>
      </c>
      <c r="E191" s="56" t="s">
        <v>285</v>
      </c>
      <c r="F191" s="56"/>
      <c r="G191" s="102"/>
      <c r="H191" s="69" t="s">
        <v>1645</v>
      </c>
      <c r="I191" s="102"/>
      <c r="J191" s="56" t="s">
        <v>491</v>
      </c>
      <c r="K191" s="56"/>
      <c r="L191" s="56"/>
      <c r="M191" s="56"/>
      <c r="N191" s="56"/>
      <c r="O191" s="56"/>
      <c r="P191" s="112" t="s">
        <v>491</v>
      </c>
      <c r="Q191" s="112"/>
      <c r="R191" s="71"/>
      <c r="S191" s="71"/>
      <c r="T191" s="56"/>
    </row>
    <row r="192" spans="1:22" s="29" customFormat="1" ht="15.75" customHeight="1" x14ac:dyDescent="0.25">
      <c r="B192" s="56" t="s">
        <v>236</v>
      </c>
      <c r="C192" s="56" t="s">
        <v>254</v>
      </c>
      <c r="D192" s="56" t="s">
        <v>288</v>
      </c>
      <c r="E192" s="56" t="s">
        <v>289</v>
      </c>
      <c r="F192" s="56"/>
      <c r="G192" s="102"/>
      <c r="H192" s="69" t="s">
        <v>1645</v>
      </c>
      <c r="I192" s="102"/>
      <c r="J192" s="56" t="s">
        <v>491</v>
      </c>
      <c r="K192" s="56"/>
      <c r="L192" s="56"/>
      <c r="M192" s="56"/>
      <c r="N192" s="56"/>
      <c r="O192" s="56"/>
      <c r="P192" s="112" t="s">
        <v>491</v>
      </c>
      <c r="Q192" s="112"/>
      <c r="R192" s="71"/>
      <c r="S192" s="71"/>
      <c r="T192" s="56"/>
    </row>
    <row r="193" spans="2:21" s="29" customFormat="1" ht="18" customHeight="1" x14ac:dyDescent="0.25">
      <c r="B193" s="56"/>
      <c r="C193" s="56"/>
      <c r="D193" s="56"/>
      <c r="E193" s="56"/>
      <c r="F193" s="56"/>
      <c r="G193" s="56"/>
      <c r="H193" s="56"/>
      <c r="I193" s="56"/>
      <c r="J193" s="56"/>
      <c r="K193" s="56"/>
      <c r="L193" s="56"/>
      <c r="M193" s="56"/>
      <c r="N193" s="56"/>
      <c r="O193" s="56"/>
      <c r="P193" s="112"/>
      <c r="Q193" s="112"/>
      <c r="R193" s="71"/>
      <c r="S193" s="71"/>
      <c r="T193" s="56"/>
    </row>
    <row r="194" spans="2:21" s="29" customFormat="1" ht="15.75" customHeight="1" thickBot="1" x14ac:dyDescent="0.3">
      <c r="B194" s="56"/>
      <c r="C194" s="56"/>
      <c r="D194" s="56"/>
      <c r="E194" s="56"/>
      <c r="F194" s="56"/>
      <c r="G194" s="56"/>
      <c r="H194" s="56"/>
      <c r="I194" s="56"/>
      <c r="J194" s="56"/>
      <c r="K194" s="72"/>
      <c r="L194" s="72"/>
      <c r="M194" s="72"/>
      <c r="N194" s="72"/>
      <c r="O194" s="72"/>
      <c r="P194" s="114"/>
      <c r="Q194" s="114"/>
      <c r="R194" s="115"/>
      <c r="S194" s="115"/>
      <c r="T194" s="56"/>
    </row>
    <row r="195" spans="2:21" s="29" customFormat="1" ht="15.75" customHeight="1" thickTop="1" x14ac:dyDescent="0.25">
      <c r="B195" s="74"/>
      <c r="C195" s="74"/>
      <c r="D195" s="74"/>
      <c r="E195" s="74"/>
      <c r="F195" s="74"/>
      <c r="G195" s="74"/>
      <c r="H195" s="74"/>
      <c r="I195" s="74"/>
      <c r="J195" s="74"/>
      <c r="K195" s="56"/>
      <c r="L195" s="56"/>
      <c r="M195" s="56"/>
      <c r="N195" s="56"/>
      <c r="O195" s="56"/>
      <c r="P195" s="116"/>
      <c r="Q195" s="112"/>
      <c r="R195" s="71"/>
      <c r="S195" s="71"/>
      <c r="T195" s="56"/>
    </row>
    <row r="196" spans="2:21" s="29" customFormat="1" ht="15.75" customHeight="1" x14ac:dyDescent="0.25">
      <c r="B196" s="80"/>
      <c r="C196" s="80"/>
      <c r="D196" s="80"/>
      <c r="E196" s="80"/>
      <c r="F196" s="80"/>
      <c r="G196" s="80"/>
      <c r="H196" s="80"/>
      <c r="I196" s="80"/>
      <c r="J196" s="80"/>
      <c r="K196" s="56"/>
      <c r="L196" s="56"/>
      <c r="M196" s="56"/>
      <c r="N196" s="56"/>
      <c r="O196" s="56"/>
      <c r="P196" s="116"/>
      <c r="Q196" s="112"/>
      <c r="R196" s="71"/>
      <c r="S196" s="71"/>
      <c r="T196" s="56"/>
    </row>
    <row r="197" spans="2:21" s="29" customFormat="1" ht="15.75" customHeight="1" x14ac:dyDescent="0.25">
      <c r="B197" s="56" t="s">
        <v>236</v>
      </c>
      <c r="C197" s="56" t="s">
        <v>523</v>
      </c>
      <c r="D197" s="56" t="s">
        <v>290</v>
      </c>
      <c r="E197" s="56" t="s">
        <v>291</v>
      </c>
      <c r="F197" s="56"/>
      <c r="G197" s="56">
        <v>3.3</v>
      </c>
      <c r="H197" s="56">
        <v>4.4000000000000004</v>
      </c>
      <c r="I197" s="56">
        <v>5.8</v>
      </c>
      <c r="J197" s="56">
        <v>2012</v>
      </c>
      <c r="K197" s="56" t="s">
        <v>721</v>
      </c>
      <c r="L197" s="56" t="s">
        <v>692</v>
      </c>
      <c r="M197" s="56"/>
      <c r="N197" s="56" t="s">
        <v>814</v>
      </c>
      <c r="O197" s="56" t="s">
        <v>815</v>
      </c>
      <c r="P197" s="112" t="s">
        <v>19</v>
      </c>
      <c r="Q197" s="112" t="s">
        <v>849</v>
      </c>
      <c r="R197" s="71" t="s">
        <v>914</v>
      </c>
      <c r="S197" s="71"/>
      <c r="T197" s="56"/>
      <c r="U197" s="29" t="s">
        <v>508</v>
      </c>
    </row>
    <row r="198" spans="2:21" s="29" customFormat="1" ht="15.75" customHeight="1" x14ac:dyDescent="0.25">
      <c r="B198" s="56" t="s">
        <v>236</v>
      </c>
      <c r="C198" s="56" t="s">
        <v>523</v>
      </c>
      <c r="D198" s="56" t="s">
        <v>306</v>
      </c>
      <c r="E198" s="56" t="s">
        <v>307</v>
      </c>
      <c r="F198" s="56"/>
      <c r="G198" s="56">
        <v>9.4</v>
      </c>
      <c r="H198" s="56">
        <v>13.8</v>
      </c>
      <c r="I198" s="56">
        <v>18.2</v>
      </c>
      <c r="J198" s="56">
        <v>2014</v>
      </c>
      <c r="K198" s="56"/>
      <c r="L198" s="56"/>
      <c r="M198" s="56"/>
      <c r="N198" s="56"/>
      <c r="O198" s="56"/>
      <c r="P198" s="112" t="s">
        <v>1252</v>
      </c>
      <c r="Q198" s="112" t="s">
        <v>846</v>
      </c>
      <c r="R198" s="71" t="s">
        <v>594</v>
      </c>
      <c r="S198" s="71"/>
      <c r="T198" s="56"/>
      <c r="U198" s="29" t="s">
        <v>508</v>
      </c>
    </row>
    <row r="199" spans="2:21" s="29" customFormat="1" ht="15.75" customHeight="1" x14ac:dyDescent="0.25">
      <c r="B199" s="56" t="s">
        <v>236</v>
      </c>
      <c r="C199" s="56" t="s">
        <v>523</v>
      </c>
      <c r="D199" s="56" t="s">
        <v>313</v>
      </c>
      <c r="E199" s="56" t="s">
        <v>314</v>
      </c>
      <c r="F199" s="56"/>
      <c r="G199" s="56">
        <v>37.9</v>
      </c>
      <c r="H199" s="56">
        <v>38.4</v>
      </c>
      <c r="I199" s="56">
        <v>38.9</v>
      </c>
      <c r="J199" s="78" t="s">
        <v>966</v>
      </c>
      <c r="K199" s="56" t="s">
        <v>695</v>
      </c>
      <c r="L199" s="56" t="s">
        <v>963</v>
      </c>
      <c r="M199" s="56" t="s">
        <v>693</v>
      </c>
      <c r="N199" s="66" t="s">
        <v>1506</v>
      </c>
      <c r="O199" s="56" t="s">
        <v>965</v>
      </c>
      <c r="P199" s="112" t="s">
        <v>633</v>
      </c>
      <c r="Q199" s="112" t="s">
        <v>964</v>
      </c>
      <c r="R199" s="71" t="s">
        <v>962</v>
      </c>
      <c r="S199" s="71"/>
      <c r="T199" s="56"/>
    </row>
    <row r="200" spans="2:21" s="29" customFormat="1" ht="15.75" customHeight="1" x14ac:dyDescent="0.25">
      <c r="B200" s="56"/>
      <c r="C200" s="56"/>
      <c r="D200" s="56"/>
      <c r="E200" s="56"/>
      <c r="F200" s="56"/>
      <c r="G200" s="56"/>
      <c r="H200" s="56"/>
      <c r="I200" s="56"/>
      <c r="J200" s="56"/>
      <c r="K200" s="56"/>
      <c r="L200" s="56"/>
      <c r="M200" s="56"/>
      <c r="N200" s="56"/>
      <c r="O200" s="56"/>
      <c r="P200" s="112"/>
      <c r="Q200" s="112"/>
      <c r="R200" s="71"/>
      <c r="S200" s="71"/>
      <c r="T200" s="56"/>
    </row>
    <row r="201" spans="2:21" s="29" customFormat="1" ht="15.75" customHeight="1" thickBot="1" x14ac:dyDescent="0.3">
      <c r="B201" s="72"/>
      <c r="C201" s="72"/>
      <c r="D201" s="72"/>
      <c r="E201" s="72"/>
      <c r="F201" s="72"/>
      <c r="G201" s="72"/>
      <c r="H201" s="58"/>
      <c r="I201" s="72"/>
      <c r="J201" s="72"/>
      <c r="K201" s="72"/>
      <c r="L201" s="72"/>
      <c r="M201" s="72"/>
      <c r="N201" s="72"/>
      <c r="O201" s="72"/>
      <c r="P201" s="114"/>
      <c r="Q201" s="114"/>
      <c r="R201" s="115"/>
      <c r="S201" s="115"/>
      <c r="T201" s="56"/>
    </row>
    <row r="202" spans="2:21" s="29" customFormat="1" ht="15.75" customHeight="1" thickTop="1" x14ac:dyDescent="0.25">
      <c r="B202" s="56"/>
      <c r="C202" s="56"/>
      <c r="D202" s="56"/>
      <c r="E202" s="56"/>
      <c r="F202" s="56"/>
      <c r="G202" s="56"/>
      <c r="H202" s="56"/>
      <c r="I202" s="56"/>
      <c r="J202" s="56"/>
      <c r="K202" s="56"/>
      <c r="L202" s="56"/>
      <c r="M202" s="56"/>
      <c r="N202" s="56"/>
      <c r="O202" s="56"/>
      <c r="P202" s="112"/>
      <c r="Q202" s="112"/>
      <c r="R202" s="71"/>
      <c r="S202" s="71"/>
      <c r="T202" s="56"/>
    </row>
    <row r="203" spans="2:21" s="29" customFormat="1" ht="15.75" customHeight="1" x14ac:dyDescent="0.25">
      <c r="B203" s="56" t="s">
        <v>236</v>
      </c>
      <c r="C203" s="56" t="s">
        <v>524</v>
      </c>
      <c r="D203" s="56" t="s">
        <v>304</v>
      </c>
      <c r="E203" s="56" t="s">
        <v>305</v>
      </c>
      <c r="F203" s="56"/>
      <c r="G203" s="56"/>
      <c r="H203" s="56">
        <v>4.5999999999999996</v>
      </c>
      <c r="I203" s="56"/>
      <c r="J203" s="56">
        <v>2011</v>
      </c>
      <c r="K203" s="56"/>
      <c r="L203" s="56"/>
      <c r="M203" s="56"/>
      <c r="N203" s="56"/>
      <c r="O203" s="56"/>
      <c r="P203" s="112" t="s">
        <v>479</v>
      </c>
      <c r="Q203" s="112" t="s">
        <v>855</v>
      </c>
      <c r="R203" s="71" t="s">
        <v>516</v>
      </c>
      <c r="S203" s="71" t="s">
        <v>871</v>
      </c>
      <c r="T203" s="56"/>
    </row>
    <row r="204" spans="2:21" s="29" customFormat="1" ht="15.75" customHeight="1" x14ac:dyDescent="0.25">
      <c r="B204" s="56" t="s">
        <v>236</v>
      </c>
      <c r="C204" s="56" t="s">
        <v>524</v>
      </c>
      <c r="D204" s="56" t="s">
        <v>292</v>
      </c>
      <c r="E204" s="56" t="s">
        <v>293</v>
      </c>
      <c r="F204" s="56"/>
      <c r="G204" s="102"/>
      <c r="H204" s="102">
        <v>6.5</v>
      </c>
      <c r="I204" s="102"/>
      <c r="J204" s="56">
        <v>2015</v>
      </c>
      <c r="K204" s="56"/>
      <c r="L204" s="56"/>
      <c r="M204" s="56"/>
      <c r="N204" s="56"/>
      <c r="O204" s="56"/>
      <c r="P204" s="112" t="s">
        <v>480</v>
      </c>
      <c r="Q204" s="112" t="s">
        <v>855</v>
      </c>
      <c r="R204" s="71" t="s">
        <v>1269</v>
      </c>
      <c r="S204" s="71" t="s">
        <v>1270</v>
      </c>
      <c r="T204" s="56"/>
    </row>
    <row r="205" spans="2:21" s="29" customFormat="1" ht="15.75" customHeight="1" x14ac:dyDescent="0.25">
      <c r="B205" s="56" t="s">
        <v>236</v>
      </c>
      <c r="C205" s="56" t="s">
        <v>524</v>
      </c>
      <c r="D205" s="56" t="s">
        <v>294</v>
      </c>
      <c r="E205" s="56" t="s">
        <v>295</v>
      </c>
      <c r="F205" s="56"/>
      <c r="G205" s="102"/>
      <c r="H205" s="102">
        <v>1E-3</v>
      </c>
      <c r="I205" s="102"/>
      <c r="J205" s="56">
        <v>2009</v>
      </c>
      <c r="K205" s="56"/>
      <c r="L205" s="56"/>
      <c r="M205" s="56"/>
      <c r="N205" s="56" t="s">
        <v>816</v>
      </c>
      <c r="O205" s="56" t="s">
        <v>817</v>
      </c>
      <c r="P205" s="112" t="s">
        <v>15</v>
      </c>
      <c r="Q205" s="112" t="s">
        <v>845</v>
      </c>
      <c r="R205" s="71" t="s">
        <v>790</v>
      </c>
      <c r="S205" s="71"/>
      <c r="T205" s="56"/>
    </row>
    <row r="206" spans="2:21" s="29" customFormat="1" ht="15.75" customHeight="1" x14ac:dyDescent="0.25">
      <c r="B206" s="56" t="s">
        <v>236</v>
      </c>
      <c r="C206" s="56" t="s">
        <v>524</v>
      </c>
      <c r="D206" s="56" t="s">
        <v>296</v>
      </c>
      <c r="E206" s="56" t="s">
        <v>297</v>
      </c>
      <c r="F206" s="56"/>
      <c r="G206" s="69">
        <v>0.25</v>
      </c>
      <c r="H206" s="69">
        <v>0.77</v>
      </c>
      <c r="I206" s="69">
        <v>2.23</v>
      </c>
      <c r="J206" s="56">
        <v>2017</v>
      </c>
      <c r="K206" s="56"/>
      <c r="L206" s="56" t="s">
        <v>1372</v>
      </c>
      <c r="M206" s="56" t="s">
        <v>693</v>
      </c>
      <c r="N206" s="56"/>
      <c r="O206" s="56" t="s">
        <v>1373</v>
      </c>
      <c r="P206" s="112" t="s">
        <v>15</v>
      </c>
      <c r="Q206" s="112" t="s">
        <v>1053</v>
      </c>
      <c r="R206" s="71" t="s">
        <v>1374</v>
      </c>
      <c r="S206" s="71" t="s">
        <v>1375</v>
      </c>
      <c r="T206" s="56"/>
    </row>
    <row r="207" spans="2:21" s="29" customFormat="1" ht="15.75" customHeight="1" x14ac:dyDescent="0.25">
      <c r="B207" s="56" t="s">
        <v>236</v>
      </c>
      <c r="C207" s="56" t="s">
        <v>524</v>
      </c>
      <c r="D207" s="56" t="s">
        <v>298</v>
      </c>
      <c r="E207" s="56" t="s">
        <v>299</v>
      </c>
      <c r="F207" s="56"/>
      <c r="G207" s="102"/>
      <c r="H207" s="69">
        <v>0.26</v>
      </c>
      <c r="I207" s="102"/>
      <c r="J207" s="56">
        <v>2015</v>
      </c>
      <c r="K207" s="56" t="s">
        <v>721</v>
      </c>
      <c r="L207" s="56"/>
      <c r="M207" s="56" t="s">
        <v>693</v>
      </c>
      <c r="N207" s="56" t="s">
        <v>697</v>
      </c>
      <c r="O207" s="56" t="s">
        <v>818</v>
      </c>
      <c r="P207" s="112" t="s">
        <v>680</v>
      </c>
      <c r="Q207" s="112" t="s">
        <v>845</v>
      </c>
      <c r="R207" s="71" t="s">
        <v>681</v>
      </c>
      <c r="S207" s="71"/>
      <c r="T207" s="56"/>
    </row>
    <row r="208" spans="2:21" s="29" customFormat="1" ht="15.75" customHeight="1" x14ac:dyDescent="0.25">
      <c r="B208" s="56" t="s">
        <v>236</v>
      </c>
      <c r="C208" s="56" t="s">
        <v>524</v>
      </c>
      <c r="D208" s="56" t="s">
        <v>310</v>
      </c>
      <c r="E208" s="56" t="s">
        <v>0</v>
      </c>
      <c r="F208" s="56"/>
      <c r="G208" s="102"/>
      <c r="H208" s="102">
        <v>1E-3</v>
      </c>
      <c r="I208" s="102"/>
      <c r="J208" s="56" t="s">
        <v>1304</v>
      </c>
      <c r="K208" s="56" t="s">
        <v>713</v>
      </c>
      <c r="L208" s="56" t="s">
        <v>1306</v>
      </c>
      <c r="M208" s="56" t="s">
        <v>693</v>
      </c>
      <c r="N208" s="66" t="s">
        <v>1299</v>
      </c>
      <c r="O208" s="56" t="s">
        <v>1305</v>
      </c>
      <c r="P208" s="112" t="s">
        <v>1303</v>
      </c>
      <c r="Q208" s="112" t="s">
        <v>1300</v>
      </c>
      <c r="R208" s="71" t="s">
        <v>1301</v>
      </c>
      <c r="S208" s="71" t="s">
        <v>1302</v>
      </c>
      <c r="T208" s="56"/>
    </row>
    <row r="209" spans="1:21" s="29" customFormat="1" ht="15.75" customHeight="1" x14ac:dyDescent="0.25">
      <c r="A209" s="32"/>
      <c r="B209" s="56" t="s">
        <v>236</v>
      </c>
      <c r="C209" s="56" t="s">
        <v>524</v>
      </c>
      <c r="D209" s="56" t="s">
        <v>311</v>
      </c>
      <c r="E209" s="56" t="s">
        <v>312</v>
      </c>
      <c r="F209" s="56"/>
      <c r="G209" s="56"/>
      <c r="H209" s="56">
        <v>3.47</v>
      </c>
      <c r="I209" s="56"/>
      <c r="J209" s="78" t="s">
        <v>1021</v>
      </c>
      <c r="K209" s="56"/>
      <c r="L209" s="56" t="s">
        <v>492</v>
      </c>
      <c r="M209" s="56"/>
      <c r="N209" s="56" t="s">
        <v>697</v>
      </c>
      <c r="O209" s="56"/>
      <c r="P209" s="112" t="s">
        <v>1022</v>
      </c>
      <c r="Q209" s="112" t="s">
        <v>855</v>
      </c>
      <c r="R209" s="71" t="s">
        <v>1024</v>
      </c>
      <c r="S209" s="71"/>
      <c r="T209" s="56"/>
    </row>
    <row r="210" spans="1:21" s="29" customFormat="1" ht="15.75" customHeight="1" x14ac:dyDescent="0.25">
      <c r="B210" s="56" t="s">
        <v>236</v>
      </c>
      <c r="C210" s="56" t="s">
        <v>524</v>
      </c>
      <c r="D210" s="56" t="s">
        <v>300</v>
      </c>
      <c r="E210" s="56" t="s">
        <v>301</v>
      </c>
      <c r="F210" s="56"/>
      <c r="G210" s="102"/>
      <c r="H210" s="102">
        <v>0</v>
      </c>
      <c r="I210" s="102"/>
      <c r="J210" s="56">
        <v>2015</v>
      </c>
      <c r="K210" s="56"/>
      <c r="L210" s="56"/>
      <c r="M210" s="56"/>
      <c r="N210" s="56" t="s">
        <v>697</v>
      </c>
      <c r="O210" s="56"/>
      <c r="P210" s="112" t="s">
        <v>583</v>
      </c>
      <c r="Q210" s="112" t="s">
        <v>855</v>
      </c>
      <c r="R210" s="71" t="s">
        <v>1253</v>
      </c>
      <c r="S210" s="71" t="s">
        <v>872</v>
      </c>
      <c r="T210" s="56"/>
    </row>
    <row r="211" spans="1:21" s="29" customFormat="1" ht="15.75" customHeight="1" x14ac:dyDescent="0.25">
      <c r="B211" s="56" t="s">
        <v>236</v>
      </c>
      <c r="C211" s="56" t="s">
        <v>524</v>
      </c>
      <c r="D211" s="56" t="s">
        <v>317</v>
      </c>
      <c r="E211" s="56" t="s">
        <v>318</v>
      </c>
      <c r="F211" s="56"/>
      <c r="G211" s="102"/>
      <c r="H211" s="102">
        <v>0</v>
      </c>
      <c r="I211" s="102"/>
      <c r="J211" s="56">
        <v>2014</v>
      </c>
      <c r="K211" s="56"/>
      <c r="L211" s="56"/>
      <c r="M211" s="56"/>
      <c r="N211" s="56" t="s">
        <v>1089</v>
      </c>
      <c r="O211" s="56" t="s">
        <v>819</v>
      </c>
      <c r="P211" s="112" t="s">
        <v>633</v>
      </c>
      <c r="Q211" s="112" t="s">
        <v>858</v>
      </c>
      <c r="R211" s="71" t="s">
        <v>915</v>
      </c>
      <c r="S211" s="71"/>
      <c r="T211" s="56"/>
    </row>
    <row r="212" spans="1:21" s="29" customFormat="1" ht="15.75" customHeight="1" x14ac:dyDescent="0.25">
      <c r="B212" s="56"/>
      <c r="C212" s="56"/>
      <c r="D212" s="56"/>
      <c r="E212" s="56"/>
      <c r="F212" s="56"/>
      <c r="G212" s="56"/>
      <c r="H212" s="56"/>
      <c r="I212" s="56"/>
      <c r="J212" s="56"/>
      <c r="K212" s="56"/>
      <c r="L212" s="56"/>
      <c r="M212" s="56"/>
      <c r="N212" s="56"/>
      <c r="O212" s="56"/>
      <c r="P212" s="112"/>
      <c r="Q212" s="112"/>
      <c r="R212" s="71"/>
      <c r="S212" s="71"/>
      <c r="T212" s="56"/>
    </row>
    <row r="213" spans="1:21" s="29" customFormat="1" ht="15.75" customHeight="1" x14ac:dyDescent="0.25">
      <c r="B213" s="56"/>
      <c r="C213" s="56"/>
      <c r="D213" s="56"/>
      <c r="E213" s="56"/>
      <c r="F213" s="56"/>
      <c r="G213" s="56"/>
      <c r="H213" s="56"/>
      <c r="I213" s="56"/>
      <c r="J213" s="56"/>
      <c r="K213" s="56"/>
      <c r="L213" s="56"/>
      <c r="M213" s="56"/>
      <c r="N213" s="56"/>
      <c r="O213" s="56"/>
      <c r="P213" s="112"/>
      <c r="Q213" s="112"/>
      <c r="R213" s="71"/>
      <c r="S213" s="71"/>
      <c r="T213" s="56"/>
    </row>
    <row r="214" spans="1:21" s="29" customFormat="1" ht="15.75" customHeight="1" x14ac:dyDescent="0.25">
      <c r="B214" s="56" t="s">
        <v>236</v>
      </c>
      <c r="C214" s="56" t="s">
        <v>524</v>
      </c>
      <c r="D214" s="56" t="s">
        <v>308</v>
      </c>
      <c r="E214" s="56" t="s">
        <v>309</v>
      </c>
      <c r="F214" s="56"/>
      <c r="G214" s="102"/>
      <c r="H214" s="69" t="s">
        <v>1645</v>
      </c>
      <c r="I214" s="102"/>
      <c r="J214" s="56" t="s">
        <v>491</v>
      </c>
      <c r="K214" s="56"/>
      <c r="L214" s="56"/>
      <c r="M214" s="56"/>
      <c r="N214" s="56"/>
      <c r="O214" s="56"/>
      <c r="P214" s="112" t="s">
        <v>491</v>
      </c>
      <c r="Q214" s="112"/>
      <c r="R214" s="71"/>
      <c r="S214" s="71"/>
      <c r="T214" s="56"/>
    </row>
    <row r="215" spans="1:21" s="29" customFormat="1" ht="15.75" customHeight="1" x14ac:dyDescent="0.25">
      <c r="B215" s="56" t="s">
        <v>236</v>
      </c>
      <c r="C215" s="56" t="s">
        <v>524</v>
      </c>
      <c r="D215" s="56" t="s">
        <v>315</v>
      </c>
      <c r="E215" s="56" t="s">
        <v>316</v>
      </c>
      <c r="F215" s="56"/>
      <c r="G215" s="102"/>
      <c r="H215" s="69" t="s">
        <v>1645</v>
      </c>
      <c r="I215" s="102"/>
      <c r="J215" s="56" t="s">
        <v>491</v>
      </c>
      <c r="K215" s="56"/>
      <c r="L215" s="56"/>
      <c r="M215" s="56"/>
      <c r="N215" s="56"/>
      <c r="O215" s="56"/>
      <c r="P215" s="112" t="s">
        <v>491</v>
      </c>
      <c r="Q215" s="112"/>
      <c r="R215" s="71"/>
      <c r="S215" s="71"/>
      <c r="T215" s="56"/>
    </row>
    <row r="216" spans="1:21" s="29" customFormat="1" ht="15.75" customHeight="1" x14ac:dyDescent="0.25">
      <c r="B216" s="56" t="s">
        <v>236</v>
      </c>
      <c r="C216" s="56" t="s">
        <v>524</v>
      </c>
      <c r="D216" s="56" t="s">
        <v>302</v>
      </c>
      <c r="E216" s="56" t="s">
        <v>303</v>
      </c>
      <c r="F216" s="56"/>
      <c r="G216" s="102"/>
      <c r="H216" s="69" t="s">
        <v>1645</v>
      </c>
      <c r="I216" s="102"/>
      <c r="J216" s="56" t="s">
        <v>491</v>
      </c>
      <c r="K216" s="56"/>
      <c r="L216" s="56"/>
      <c r="M216" s="56"/>
      <c r="N216" s="56"/>
      <c r="O216" s="56"/>
      <c r="P216" s="112" t="s">
        <v>491</v>
      </c>
      <c r="Q216" s="112"/>
      <c r="R216" s="71"/>
      <c r="S216" s="71"/>
      <c r="T216" s="56"/>
    </row>
    <row r="217" spans="1:21" s="29" customFormat="1" ht="15.75" customHeight="1" x14ac:dyDescent="0.25">
      <c r="B217" s="56" t="s">
        <v>236</v>
      </c>
      <c r="C217" s="56" t="s">
        <v>524</v>
      </c>
      <c r="D217" s="56" t="s">
        <v>319</v>
      </c>
      <c r="E217" s="56" t="s">
        <v>320</v>
      </c>
      <c r="F217" s="56"/>
      <c r="G217" s="102"/>
      <c r="H217" s="69" t="s">
        <v>1645</v>
      </c>
      <c r="I217" s="102"/>
      <c r="J217" s="56" t="s">
        <v>491</v>
      </c>
      <c r="K217" s="56"/>
      <c r="L217" s="56"/>
      <c r="M217" s="56"/>
      <c r="N217" s="56"/>
      <c r="O217" s="56"/>
      <c r="P217" s="112" t="s">
        <v>491</v>
      </c>
      <c r="Q217" s="112"/>
      <c r="R217" s="71"/>
      <c r="S217" s="71"/>
      <c r="T217" s="56"/>
    </row>
    <row r="218" spans="1:21" s="29" customFormat="1" ht="15.75" customHeight="1" x14ac:dyDescent="0.25">
      <c r="B218" s="56"/>
      <c r="C218" s="56"/>
      <c r="D218" s="56"/>
      <c r="E218" s="56"/>
      <c r="F218" s="56"/>
      <c r="G218" s="56"/>
      <c r="H218" s="56"/>
      <c r="I218" s="56"/>
      <c r="J218" s="56"/>
      <c r="K218" s="56"/>
      <c r="L218" s="56"/>
      <c r="M218" s="56"/>
      <c r="N218" s="56"/>
      <c r="O218" s="56"/>
      <c r="P218" s="112"/>
      <c r="Q218" s="112"/>
      <c r="R218" s="71"/>
      <c r="S218" s="71"/>
      <c r="T218" s="56"/>
    </row>
    <row r="219" spans="1:21" s="29" customFormat="1" ht="15.75" customHeight="1" thickBot="1" x14ac:dyDescent="0.3">
      <c r="B219" s="56"/>
      <c r="C219" s="56"/>
      <c r="D219" s="56"/>
      <c r="E219" s="56"/>
      <c r="F219" s="56"/>
      <c r="G219" s="56"/>
      <c r="H219" s="56"/>
      <c r="I219" s="56"/>
      <c r="J219" s="56"/>
      <c r="K219" s="72"/>
      <c r="L219" s="72"/>
      <c r="M219" s="72"/>
      <c r="N219" s="72"/>
      <c r="O219" s="72"/>
      <c r="P219" s="114"/>
      <c r="Q219" s="114"/>
      <c r="R219" s="115"/>
      <c r="S219" s="115"/>
      <c r="T219" s="56"/>
    </row>
    <row r="220" spans="1:21" s="29" customFormat="1" ht="15.75" customHeight="1" thickTop="1" x14ac:dyDescent="0.25">
      <c r="B220" s="74"/>
      <c r="C220" s="74"/>
      <c r="D220" s="74"/>
      <c r="E220" s="74"/>
      <c r="F220" s="74"/>
      <c r="G220" s="74"/>
      <c r="H220" s="74"/>
      <c r="I220" s="74"/>
      <c r="J220" s="74"/>
      <c r="K220" s="56"/>
      <c r="L220" s="56"/>
      <c r="M220" s="56"/>
      <c r="N220" s="56"/>
      <c r="O220" s="56"/>
      <c r="P220" s="116"/>
      <c r="Q220" s="112"/>
      <c r="R220" s="71"/>
      <c r="S220" s="71"/>
      <c r="T220" s="56"/>
    </row>
    <row r="221" spans="1:21" s="29" customFormat="1" ht="15.75" customHeight="1" x14ac:dyDescent="0.25">
      <c r="B221" s="56" t="s">
        <v>236</v>
      </c>
      <c r="C221" s="56" t="s">
        <v>321</v>
      </c>
      <c r="D221" s="56" t="s">
        <v>322</v>
      </c>
      <c r="E221" s="56" t="s">
        <v>323</v>
      </c>
      <c r="F221" s="56"/>
      <c r="G221" s="56"/>
      <c r="H221" s="56">
        <v>18.100000000000001</v>
      </c>
      <c r="I221" s="56"/>
      <c r="J221" s="56" t="s">
        <v>1243</v>
      </c>
      <c r="K221" s="56" t="s">
        <v>1015</v>
      </c>
      <c r="L221" s="56" t="s">
        <v>692</v>
      </c>
      <c r="M221" s="56" t="s">
        <v>693</v>
      </c>
      <c r="N221" s="56" t="s">
        <v>1562</v>
      </c>
      <c r="O221" s="56" t="s">
        <v>1563</v>
      </c>
      <c r="P221" s="56" t="s">
        <v>1016</v>
      </c>
      <c r="Q221" s="112" t="s">
        <v>1017</v>
      </c>
      <c r="R221" s="71" t="s">
        <v>1590</v>
      </c>
      <c r="S221" s="71" t="s">
        <v>1561</v>
      </c>
      <c r="T221" s="56"/>
    </row>
    <row r="222" spans="1:21" s="29" customFormat="1" ht="15.75" customHeight="1" x14ac:dyDescent="0.25">
      <c r="B222" s="56" t="s">
        <v>236</v>
      </c>
      <c r="C222" s="56" t="s">
        <v>321</v>
      </c>
      <c r="D222" s="56" t="s">
        <v>326</v>
      </c>
      <c r="E222" s="56" t="s">
        <v>327</v>
      </c>
      <c r="F222" s="56"/>
      <c r="G222" s="102">
        <v>5.92</v>
      </c>
      <c r="H222" s="102">
        <v>6.26</v>
      </c>
      <c r="I222" s="56">
        <v>6.59</v>
      </c>
      <c r="J222" s="78">
        <v>2017</v>
      </c>
      <c r="K222" s="56" t="s">
        <v>721</v>
      </c>
      <c r="L222" s="56" t="s">
        <v>1496</v>
      </c>
      <c r="M222" s="56" t="s">
        <v>693</v>
      </c>
      <c r="N222" s="56" t="s">
        <v>1497</v>
      </c>
      <c r="O222" s="70"/>
      <c r="P222" s="112" t="s">
        <v>1500</v>
      </c>
      <c r="Q222" s="112" t="s">
        <v>1499</v>
      </c>
      <c r="R222" s="71" t="s">
        <v>1591</v>
      </c>
      <c r="S222" s="71" t="s">
        <v>1498</v>
      </c>
      <c r="T222" s="56"/>
      <c r="U222" s="29" t="s">
        <v>508</v>
      </c>
    </row>
    <row r="223" spans="1:21" s="29" customFormat="1" ht="15.75" customHeight="1" x14ac:dyDescent="0.25">
      <c r="B223" s="56" t="s">
        <v>236</v>
      </c>
      <c r="C223" s="56" t="s">
        <v>321</v>
      </c>
      <c r="D223" s="56" t="s">
        <v>328</v>
      </c>
      <c r="E223" s="56" t="s">
        <v>329</v>
      </c>
      <c r="F223" s="56"/>
      <c r="G223" s="56"/>
      <c r="H223" s="56">
        <v>0</v>
      </c>
      <c r="I223" s="56"/>
      <c r="J223" s="56">
        <v>2008</v>
      </c>
      <c r="K223" s="56" t="s">
        <v>695</v>
      </c>
      <c r="L223" s="56" t="s">
        <v>820</v>
      </c>
      <c r="M223" s="56" t="s">
        <v>693</v>
      </c>
      <c r="N223" s="56" t="s">
        <v>821</v>
      </c>
      <c r="O223" s="56" t="s">
        <v>822</v>
      </c>
      <c r="P223" s="112" t="s">
        <v>479</v>
      </c>
      <c r="Q223" s="112" t="s">
        <v>859</v>
      </c>
      <c r="R223" s="71" t="s">
        <v>628</v>
      </c>
      <c r="S223" s="71" t="s">
        <v>873</v>
      </c>
      <c r="T223" s="56"/>
    </row>
    <row r="224" spans="1:21" s="29" customFormat="1" ht="15.75" customHeight="1" x14ac:dyDescent="0.25">
      <c r="B224" s="56" t="s">
        <v>236</v>
      </c>
      <c r="C224" s="56" t="s">
        <v>321</v>
      </c>
      <c r="D224" s="56" t="s">
        <v>332</v>
      </c>
      <c r="E224" s="56" t="s">
        <v>333</v>
      </c>
      <c r="F224" s="56"/>
      <c r="G224" s="56">
        <v>2.8</v>
      </c>
      <c r="H224" s="102"/>
      <c r="I224" s="56">
        <v>6.4</v>
      </c>
      <c r="J224" s="78" t="s">
        <v>996</v>
      </c>
      <c r="K224" s="56" t="s">
        <v>823</v>
      </c>
      <c r="L224" s="56" t="s">
        <v>824</v>
      </c>
      <c r="M224" s="56" t="s">
        <v>825</v>
      </c>
      <c r="N224" s="56" t="s">
        <v>1100</v>
      </c>
      <c r="O224" s="56" t="s">
        <v>916</v>
      </c>
      <c r="P224" s="112" t="s">
        <v>639</v>
      </c>
      <c r="Q224" s="112" t="s">
        <v>917</v>
      </c>
      <c r="R224" s="71" t="s">
        <v>993</v>
      </c>
      <c r="S224" s="71" t="s">
        <v>994</v>
      </c>
      <c r="T224" s="56"/>
      <c r="U224" s="29" t="s">
        <v>508</v>
      </c>
    </row>
    <row r="225" spans="1:21" s="29" customFormat="1" ht="15.75" customHeight="1" x14ac:dyDescent="0.25">
      <c r="B225" s="56" t="s">
        <v>236</v>
      </c>
      <c r="C225" s="56" t="s">
        <v>321</v>
      </c>
      <c r="D225" s="56" t="s">
        <v>330</v>
      </c>
      <c r="E225" s="56" t="s">
        <v>331</v>
      </c>
      <c r="F225" s="56"/>
      <c r="G225" s="56"/>
      <c r="H225" s="102">
        <v>0</v>
      </c>
      <c r="I225" s="56"/>
      <c r="J225" s="78">
        <v>2018</v>
      </c>
      <c r="K225" s="56" t="s">
        <v>691</v>
      </c>
      <c r="L225" s="56" t="s">
        <v>1248</v>
      </c>
      <c r="M225" s="56" t="s">
        <v>693</v>
      </c>
      <c r="N225" s="56" t="s">
        <v>826</v>
      </c>
      <c r="O225" s="56" t="s">
        <v>1249</v>
      </c>
      <c r="P225" s="112" t="s">
        <v>599</v>
      </c>
      <c r="Q225" s="112" t="s">
        <v>849</v>
      </c>
      <c r="R225" s="71" t="s">
        <v>1247</v>
      </c>
      <c r="S225" s="71" t="s">
        <v>997</v>
      </c>
      <c r="T225" s="56"/>
    </row>
    <row r="226" spans="1:21" s="29" customFormat="1" ht="15.75" customHeight="1" x14ac:dyDescent="0.25">
      <c r="B226" s="56"/>
      <c r="C226" s="56"/>
      <c r="D226" s="56"/>
      <c r="E226" s="56"/>
      <c r="F226" s="56"/>
      <c r="G226" s="56"/>
      <c r="H226" s="56"/>
      <c r="I226" s="56"/>
      <c r="J226" s="56"/>
      <c r="K226" s="56"/>
      <c r="L226" s="56"/>
      <c r="M226" s="56"/>
      <c r="N226" s="56"/>
      <c r="O226" s="56"/>
      <c r="P226" s="112"/>
      <c r="Q226" s="112"/>
      <c r="R226" s="71"/>
      <c r="S226" s="71"/>
      <c r="T226" s="56"/>
    </row>
    <row r="227" spans="1:21" s="29" customFormat="1" ht="15.75" customHeight="1" x14ac:dyDescent="0.25">
      <c r="B227" s="56"/>
      <c r="C227" s="56"/>
      <c r="D227" s="56"/>
      <c r="E227" s="56"/>
      <c r="F227" s="56"/>
      <c r="G227" s="56"/>
      <c r="H227" s="56"/>
      <c r="I227" s="56"/>
      <c r="J227" s="56"/>
      <c r="K227" s="56"/>
      <c r="L227" s="56"/>
      <c r="M227" s="56"/>
      <c r="N227" s="56"/>
      <c r="O227" s="56"/>
      <c r="P227" s="112"/>
      <c r="Q227" s="112"/>
      <c r="R227" s="71"/>
      <c r="S227" s="71"/>
      <c r="T227" s="56"/>
    </row>
    <row r="228" spans="1:21" s="29" customFormat="1" ht="15.75" customHeight="1" x14ac:dyDescent="0.25">
      <c r="B228" s="56" t="s">
        <v>236</v>
      </c>
      <c r="C228" s="56" t="s">
        <v>321</v>
      </c>
      <c r="D228" s="56" t="s">
        <v>324</v>
      </c>
      <c r="E228" s="56" t="s">
        <v>325</v>
      </c>
      <c r="F228" s="56"/>
      <c r="G228" s="102"/>
      <c r="H228" s="69" t="s">
        <v>1645</v>
      </c>
      <c r="I228" s="102"/>
      <c r="J228" s="56" t="s">
        <v>491</v>
      </c>
      <c r="K228" s="56"/>
      <c r="L228" s="56"/>
      <c r="M228" s="56"/>
      <c r="N228" s="56"/>
      <c r="O228" s="56"/>
      <c r="P228" s="112" t="s">
        <v>491</v>
      </c>
      <c r="Q228" s="112"/>
      <c r="R228" s="71"/>
      <c r="S228" s="71"/>
      <c r="T228" s="56"/>
    </row>
    <row r="229" spans="1:21" s="29" customFormat="1" ht="15.75" customHeight="1" x14ac:dyDescent="0.25">
      <c r="B229" s="56"/>
      <c r="C229" s="56"/>
      <c r="D229" s="56"/>
      <c r="E229" s="56"/>
      <c r="F229" s="56"/>
      <c r="G229" s="56"/>
      <c r="H229" s="56"/>
      <c r="I229" s="56"/>
      <c r="J229" s="56"/>
      <c r="K229" s="56"/>
      <c r="L229" s="56"/>
      <c r="M229" s="56"/>
      <c r="N229" s="56"/>
      <c r="O229" s="56"/>
      <c r="P229" s="112"/>
      <c r="Q229" s="112"/>
      <c r="R229" s="71"/>
      <c r="S229" s="71"/>
      <c r="T229" s="56"/>
    </row>
    <row r="230" spans="1:21" s="29" customFormat="1" ht="15.75" customHeight="1" thickBot="1" x14ac:dyDescent="0.3">
      <c r="B230" s="56"/>
      <c r="C230" s="56"/>
      <c r="D230" s="56"/>
      <c r="E230" s="56"/>
      <c r="F230" s="56"/>
      <c r="G230" s="56"/>
      <c r="H230" s="56"/>
      <c r="I230" s="56"/>
      <c r="J230" s="56"/>
      <c r="K230" s="72"/>
      <c r="L230" s="72"/>
      <c r="M230" s="72"/>
      <c r="N230" s="72"/>
      <c r="O230" s="72"/>
      <c r="P230" s="114"/>
      <c r="Q230" s="114"/>
      <c r="R230" s="115"/>
      <c r="S230" s="115"/>
      <c r="T230" s="56"/>
    </row>
    <row r="231" spans="1:21" s="29" customFormat="1" ht="15.75" customHeight="1" thickTop="1" x14ac:dyDescent="0.25">
      <c r="B231" s="74"/>
      <c r="C231" s="74"/>
      <c r="D231" s="74"/>
      <c r="E231" s="74"/>
      <c r="F231" s="74"/>
      <c r="G231" s="74"/>
      <c r="H231" s="74"/>
      <c r="I231" s="74"/>
      <c r="J231" s="74"/>
      <c r="K231" s="56"/>
      <c r="L231" s="56"/>
      <c r="M231" s="56"/>
      <c r="N231" s="56"/>
      <c r="O231" s="56"/>
      <c r="P231" s="116"/>
      <c r="Q231" s="112"/>
      <c r="R231" s="71"/>
      <c r="S231" s="71"/>
      <c r="T231" s="56"/>
    </row>
    <row r="232" spans="1:21" s="29" customFormat="1" ht="15.75" customHeight="1" x14ac:dyDescent="0.25">
      <c r="B232" s="56"/>
      <c r="C232" s="56"/>
      <c r="D232" s="56"/>
      <c r="E232" s="56"/>
      <c r="F232" s="56"/>
      <c r="G232" s="56"/>
      <c r="H232" s="56"/>
      <c r="I232" s="56"/>
      <c r="J232" s="56"/>
      <c r="K232" s="56"/>
      <c r="L232" s="56"/>
      <c r="M232" s="56"/>
      <c r="N232" s="56"/>
      <c r="O232" s="56"/>
      <c r="P232" s="56"/>
      <c r="Q232" s="56"/>
      <c r="R232" s="110"/>
      <c r="S232" s="111"/>
      <c r="T232" s="56"/>
    </row>
    <row r="233" spans="1:21" s="29" customFormat="1" ht="15.75" customHeight="1" x14ac:dyDescent="0.25">
      <c r="B233" s="56" t="s">
        <v>334</v>
      </c>
      <c r="C233" s="56" t="s">
        <v>1613</v>
      </c>
      <c r="D233" s="56" t="s">
        <v>337</v>
      </c>
      <c r="E233" s="56" t="s">
        <v>338</v>
      </c>
      <c r="F233" s="56"/>
      <c r="G233" s="56"/>
      <c r="H233" s="56">
        <v>30.8</v>
      </c>
      <c r="I233" s="56"/>
      <c r="J233" s="56">
        <v>2017</v>
      </c>
      <c r="K233" s="56"/>
      <c r="L233" s="56"/>
      <c r="M233" s="56"/>
      <c r="N233" s="56"/>
      <c r="O233" s="56"/>
      <c r="P233" s="112" t="s">
        <v>1494</v>
      </c>
      <c r="Q233" s="112" t="s">
        <v>846</v>
      </c>
      <c r="R233" s="122" t="s">
        <v>1592</v>
      </c>
      <c r="S233" s="71"/>
      <c r="T233" s="56"/>
      <c r="U233" s="48" t="s">
        <v>508</v>
      </c>
    </row>
    <row r="234" spans="1:21" s="29" customFormat="1" ht="15.75" customHeight="1" x14ac:dyDescent="0.25">
      <c r="A234" s="32"/>
      <c r="B234" s="56" t="s">
        <v>334</v>
      </c>
      <c r="C234" s="56" t="s">
        <v>1613</v>
      </c>
      <c r="D234" s="56" t="s">
        <v>346</v>
      </c>
      <c r="E234" s="56" t="s">
        <v>497</v>
      </c>
      <c r="F234" s="56"/>
      <c r="G234" s="102"/>
      <c r="H234" s="102">
        <v>13.9</v>
      </c>
      <c r="I234" s="102"/>
      <c r="J234" s="78" t="s">
        <v>1243</v>
      </c>
      <c r="K234" s="56"/>
      <c r="L234" s="56"/>
      <c r="M234" s="56"/>
      <c r="N234" s="56" t="s">
        <v>1244</v>
      </c>
      <c r="O234" s="56" t="s">
        <v>508</v>
      </c>
      <c r="P234" s="71" t="s">
        <v>680</v>
      </c>
      <c r="Q234" s="112" t="s">
        <v>961</v>
      </c>
      <c r="R234" s="71" t="s">
        <v>1246</v>
      </c>
      <c r="S234" s="71" t="s">
        <v>1245</v>
      </c>
      <c r="T234" s="56"/>
    </row>
    <row r="235" spans="1:21" s="29" customFormat="1" ht="15.75" customHeight="1" x14ac:dyDescent="0.25">
      <c r="B235" s="56" t="s">
        <v>334</v>
      </c>
      <c r="C235" s="56" t="s">
        <v>1613</v>
      </c>
      <c r="D235" s="56" t="s">
        <v>351</v>
      </c>
      <c r="E235" s="56" t="s">
        <v>352</v>
      </c>
      <c r="F235" s="56"/>
      <c r="G235" s="102"/>
      <c r="H235" s="102">
        <v>26</v>
      </c>
      <c r="I235" s="102"/>
      <c r="J235" s="78">
        <v>2018</v>
      </c>
      <c r="K235" s="56"/>
      <c r="L235" s="56"/>
      <c r="M235" s="56"/>
      <c r="N235" s="56" t="s">
        <v>697</v>
      </c>
      <c r="O235" s="56"/>
      <c r="P235" s="112" t="s">
        <v>1277</v>
      </c>
      <c r="Q235" s="112" t="s">
        <v>855</v>
      </c>
      <c r="R235" s="71" t="s">
        <v>1429</v>
      </c>
      <c r="S235" s="71" t="s">
        <v>1257</v>
      </c>
      <c r="T235" s="56"/>
    </row>
    <row r="236" spans="1:21" s="29" customFormat="1" ht="15.75" customHeight="1" x14ac:dyDescent="0.25">
      <c r="B236" s="56" t="s">
        <v>334</v>
      </c>
      <c r="C236" s="56" t="s">
        <v>1613</v>
      </c>
      <c r="D236" s="56" t="s">
        <v>357</v>
      </c>
      <c r="E236" s="56" t="s">
        <v>358</v>
      </c>
      <c r="F236" s="56"/>
      <c r="G236" s="56"/>
      <c r="H236" s="56">
        <v>22.6</v>
      </c>
      <c r="I236" s="56"/>
      <c r="J236" s="56">
        <v>2017</v>
      </c>
      <c r="K236" s="56"/>
      <c r="L236" s="56"/>
      <c r="M236" s="56"/>
      <c r="N236" s="56" t="s">
        <v>697</v>
      </c>
      <c r="O236" s="123">
        <v>10000</v>
      </c>
      <c r="P236" s="112" t="s">
        <v>1494</v>
      </c>
      <c r="Q236" s="112" t="s">
        <v>1523</v>
      </c>
      <c r="R236" s="71" t="s">
        <v>1594</v>
      </c>
      <c r="S236" s="71"/>
      <c r="T236" s="56"/>
    </row>
    <row r="237" spans="1:21" s="29" customFormat="1" ht="15.75" customHeight="1" x14ac:dyDescent="0.25">
      <c r="B237" s="56"/>
      <c r="C237" s="56"/>
      <c r="D237" s="56"/>
      <c r="E237" s="56"/>
      <c r="F237" s="56"/>
      <c r="G237" s="56"/>
      <c r="H237" s="56"/>
      <c r="I237" s="56"/>
      <c r="J237" s="56"/>
      <c r="K237" s="56"/>
      <c r="L237" s="56"/>
      <c r="M237" s="56"/>
      <c r="N237" s="56"/>
      <c r="O237" s="56"/>
      <c r="P237" s="112"/>
      <c r="Q237" s="112"/>
      <c r="R237" s="71"/>
      <c r="S237" s="71"/>
      <c r="T237" s="56"/>
    </row>
    <row r="238" spans="1:21" s="29" customFormat="1" ht="15.75" customHeight="1" thickBot="1" x14ac:dyDescent="0.3">
      <c r="B238" s="56"/>
      <c r="C238" s="56"/>
      <c r="D238" s="56"/>
      <c r="E238" s="56"/>
      <c r="F238" s="56"/>
      <c r="G238" s="56"/>
      <c r="H238" s="56"/>
      <c r="I238" s="56"/>
      <c r="J238" s="56"/>
      <c r="K238" s="72"/>
      <c r="L238" s="72"/>
      <c r="M238" s="72"/>
      <c r="N238" s="72"/>
      <c r="O238" s="72"/>
      <c r="P238" s="114"/>
      <c r="Q238" s="114"/>
      <c r="R238" s="115"/>
      <c r="S238" s="115"/>
      <c r="T238" s="56"/>
    </row>
    <row r="239" spans="1:21" s="29" customFormat="1" ht="15.75" customHeight="1" thickTop="1" x14ac:dyDescent="0.25">
      <c r="B239" s="74"/>
      <c r="C239" s="74"/>
      <c r="D239" s="74"/>
      <c r="E239" s="74"/>
      <c r="F239" s="74"/>
      <c r="G239" s="74"/>
      <c r="H239" s="74"/>
      <c r="I239" s="74"/>
      <c r="J239" s="74"/>
      <c r="K239" s="56"/>
      <c r="L239" s="56"/>
      <c r="M239" s="56"/>
      <c r="N239" s="56"/>
      <c r="O239" s="56"/>
      <c r="P239" s="116"/>
      <c r="Q239" s="112"/>
      <c r="R239" s="71"/>
      <c r="S239" s="71"/>
      <c r="T239" s="56"/>
    </row>
    <row r="240" spans="1:21" s="29" customFormat="1" ht="15.75" customHeight="1" x14ac:dyDescent="0.25">
      <c r="B240" s="56" t="s">
        <v>334</v>
      </c>
      <c r="C240" s="56" t="s">
        <v>1644</v>
      </c>
      <c r="D240" s="56" t="s">
        <v>335</v>
      </c>
      <c r="E240" s="56" t="s">
        <v>336</v>
      </c>
      <c r="F240" s="56"/>
      <c r="G240" s="102"/>
      <c r="H240" s="102">
        <v>0.5</v>
      </c>
      <c r="I240" s="102"/>
      <c r="J240" s="56">
        <v>2011</v>
      </c>
      <c r="K240" s="56"/>
      <c r="L240" s="56"/>
      <c r="M240" s="56"/>
      <c r="N240" s="56" t="s">
        <v>827</v>
      </c>
      <c r="O240" s="56">
        <v>200</v>
      </c>
      <c r="P240" s="112" t="s">
        <v>1210</v>
      </c>
      <c r="Q240" s="112" t="s">
        <v>856</v>
      </c>
      <c r="R240" s="71" t="s">
        <v>1103</v>
      </c>
      <c r="S240" s="71"/>
      <c r="T240" s="56"/>
      <c r="U240" s="29" t="s">
        <v>508</v>
      </c>
    </row>
    <row r="241" spans="1:22" s="29" customFormat="1" ht="15.75" customHeight="1" x14ac:dyDescent="0.25">
      <c r="B241" s="56" t="s">
        <v>334</v>
      </c>
      <c r="C241" s="56" t="s">
        <v>1644</v>
      </c>
      <c r="D241" s="56" t="s">
        <v>339</v>
      </c>
      <c r="E241" s="56" t="s">
        <v>340</v>
      </c>
      <c r="F241" s="56"/>
      <c r="G241" s="102"/>
      <c r="H241" s="102">
        <v>1E-3</v>
      </c>
      <c r="I241" s="102"/>
      <c r="J241" s="87">
        <v>2012</v>
      </c>
      <c r="K241" s="56" t="s">
        <v>713</v>
      </c>
      <c r="L241" s="56" t="s">
        <v>804</v>
      </c>
      <c r="M241" s="56" t="s">
        <v>693</v>
      </c>
      <c r="N241" s="56" t="s">
        <v>918</v>
      </c>
      <c r="O241" s="56" t="s">
        <v>828</v>
      </c>
      <c r="P241" s="112" t="s">
        <v>1106</v>
      </c>
      <c r="Q241" s="112" t="s">
        <v>856</v>
      </c>
      <c r="R241" s="71" t="s">
        <v>919</v>
      </c>
      <c r="S241" s="71" t="s">
        <v>874</v>
      </c>
      <c r="T241" s="56"/>
      <c r="U241" s="32" t="s">
        <v>508</v>
      </c>
      <c r="V241" s="32" t="s">
        <v>508</v>
      </c>
    </row>
    <row r="242" spans="1:22" s="29" customFormat="1" ht="15.75" customHeight="1" x14ac:dyDescent="0.25">
      <c r="B242" s="56" t="s">
        <v>334</v>
      </c>
      <c r="C242" s="56" t="s">
        <v>1644</v>
      </c>
      <c r="D242" s="56" t="s">
        <v>341</v>
      </c>
      <c r="E242" s="56" t="s">
        <v>342</v>
      </c>
      <c r="F242" s="56"/>
      <c r="G242" s="56"/>
      <c r="H242" s="56">
        <v>1.7</v>
      </c>
      <c r="I242" s="56"/>
      <c r="J242" s="56">
        <v>2016</v>
      </c>
      <c r="K242" s="56"/>
      <c r="L242" s="56"/>
      <c r="M242" s="56"/>
      <c r="N242" s="56"/>
      <c r="O242" s="56"/>
      <c r="P242" s="112" t="s">
        <v>1494</v>
      </c>
      <c r="Q242" s="112" t="s">
        <v>846</v>
      </c>
      <c r="R242" s="71" t="s">
        <v>1593</v>
      </c>
      <c r="S242" s="71"/>
      <c r="T242" s="56"/>
    </row>
    <row r="243" spans="1:22" s="29" customFormat="1" ht="15.75" customHeight="1" x14ac:dyDescent="0.25">
      <c r="A243" s="32"/>
      <c r="B243" s="56" t="s">
        <v>334</v>
      </c>
      <c r="C243" s="56" t="s">
        <v>1644</v>
      </c>
      <c r="D243" s="56" t="s">
        <v>343</v>
      </c>
      <c r="E243" s="56" t="s">
        <v>344</v>
      </c>
      <c r="F243" s="56"/>
      <c r="G243" s="102">
        <v>0.2</v>
      </c>
      <c r="H243" s="56"/>
      <c r="I243" s="56">
        <v>0.3</v>
      </c>
      <c r="J243" s="56">
        <v>2015</v>
      </c>
      <c r="K243" s="56" t="s">
        <v>713</v>
      </c>
      <c r="L243" s="56" t="s">
        <v>692</v>
      </c>
      <c r="M243" s="56" t="s">
        <v>693</v>
      </c>
      <c r="N243" s="56" t="s">
        <v>829</v>
      </c>
      <c r="O243" s="56" t="s">
        <v>830</v>
      </c>
      <c r="P243" s="112" t="s">
        <v>643</v>
      </c>
      <c r="Q243" s="112" t="s">
        <v>856</v>
      </c>
      <c r="R243" s="71" t="s">
        <v>642</v>
      </c>
      <c r="S243" s="71" t="s">
        <v>875</v>
      </c>
      <c r="T243" s="56"/>
    </row>
    <row r="244" spans="1:22" s="29" customFormat="1" ht="15.75" customHeight="1" x14ac:dyDescent="0.25">
      <c r="B244" s="56" t="s">
        <v>334</v>
      </c>
      <c r="C244" s="56" t="s">
        <v>1644</v>
      </c>
      <c r="D244" s="56" t="s">
        <v>345</v>
      </c>
      <c r="E244" s="56" t="s">
        <v>1610</v>
      </c>
      <c r="F244" s="56"/>
      <c r="G244" s="56"/>
      <c r="H244" s="56">
        <v>0.1</v>
      </c>
      <c r="I244" s="56"/>
      <c r="J244" s="78" t="s">
        <v>629</v>
      </c>
      <c r="K244" s="56"/>
      <c r="L244" s="56"/>
      <c r="M244" s="56"/>
      <c r="N244" s="56"/>
      <c r="O244" s="56"/>
      <c r="P244" s="112" t="s">
        <v>480</v>
      </c>
      <c r="Q244" s="112" t="s">
        <v>855</v>
      </c>
      <c r="R244" s="71" t="s">
        <v>1136</v>
      </c>
      <c r="S244" s="71" t="s">
        <v>876</v>
      </c>
      <c r="T244" s="56"/>
    </row>
    <row r="245" spans="1:22" s="29" customFormat="1" ht="15.75" customHeight="1" x14ac:dyDescent="0.25">
      <c r="A245" s="32"/>
      <c r="B245" s="56" t="s">
        <v>334</v>
      </c>
      <c r="C245" s="56" t="s">
        <v>1644</v>
      </c>
      <c r="D245" s="56" t="s">
        <v>347</v>
      </c>
      <c r="E245" s="56" t="s">
        <v>348</v>
      </c>
      <c r="F245" s="56"/>
      <c r="G245" s="69"/>
      <c r="H245" s="124">
        <v>1.1000000000000001</v>
      </c>
      <c r="I245" s="69"/>
      <c r="J245" s="56">
        <v>2013</v>
      </c>
      <c r="K245" s="56" t="s">
        <v>713</v>
      </c>
      <c r="L245" s="56" t="s">
        <v>804</v>
      </c>
      <c r="M245" s="56" t="s">
        <v>693</v>
      </c>
      <c r="N245" s="56" t="s">
        <v>727</v>
      </c>
      <c r="O245" s="56" t="s">
        <v>832</v>
      </c>
      <c r="P245" s="112" t="s">
        <v>985</v>
      </c>
      <c r="Q245" s="112" t="s">
        <v>849</v>
      </c>
      <c r="R245" s="71" t="s">
        <v>596</v>
      </c>
      <c r="S245" s="71"/>
      <c r="T245" s="56"/>
    </row>
    <row r="246" spans="1:22" s="29" customFormat="1" ht="15.75" customHeight="1" x14ac:dyDescent="0.25">
      <c r="B246" s="56" t="s">
        <v>334</v>
      </c>
      <c r="C246" s="56" t="s">
        <v>1644</v>
      </c>
      <c r="D246" s="56" t="s">
        <v>349</v>
      </c>
      <c r="E246" s="56" t="s">
        <v>350</v>
      </c>
      <c r="F246" s="56"/>
      <c r="G246" s="56"/>
      <c r="H246" s="56">
        <v>30</v>
      </c>
      <c r="I246" s="56"/>
      <c r="J246" s="56">
        <v>2017</v>
      </c>
      <c r="K246" s="56" t="s">
        <v>691</v>
      </c>
      <c r="L246" s="56" t="s">
        <v>1650</v>
      </c>
      <c r="M246" s="56" t="s">
        <v>693</v>
      </c>
      <c r="N246" s="56" t="s">
        <v>1651</v>
      </c>
      <c r="O246" s="56">
        <v>444</v>
      </c>
      <c r="P246" s="112" t="s">
        <v>1636</v>
      </c>
      <c r="Q246" s="112" t="s">
        <v>1652</v>
      </c>
      <c r="R246" s="71" t="s">
        <v>1635</v>
      </c>
      <c r="S246" s="71" t="s">
        <v>1653</v>
      </c>
      <c r="T246" s="56"/>
    </row>
    <row r="247" spans="1:22" s="29" customFormat="1" ht="15.75" customHeight="1" x14ac:dyDescent="0.25">
      <c r="B247" s="56" t="s">
        <v>334</v>
      </c>
      <c r="C247" s="56" t="s">
        <v>1644</v>
      </c>
      <c r="D247" s="56" t="s">
        <v>353</v>
      </c>
      <c r="E247" s="56" t="s">
        <v>354</v>
      </c>
      <c r="F247" s="56"/>
      <c r="G247" s="102">
        <v>1E-3</v>
      </c>
      <c r="H247" s="102">
        <v>1</v>
      </c>
      <c r="I247" s="56">
        <v>1.5</v>
      </c>
      <c r="J247" s="56">
        <v>2013</v>
      </c>
      <c r="K247" s="56" t="s">
        <v>713</v>
      </c>
      <c r="L247" s="56" t="s">
        <v>692</v>
      </c>
      <c r="M247" s="56" t="s">
        <v>693</v>
      </c>
      <c r="N247" s="56" t="s">
        <v>833</v>
      </c>
      <c r="O247" s="56" t="s">
        <v>834</v>
      </c>
      <c r="P247" s="112" t="s">
        <v>1278</v>
      </c>
      <c r="Q247" s="112" t="s">
        <v>849</v>
      </c>
      <c r="R247" s="71" t="s">
        <v>986</v>
      </c>
      <c r="S247" s="71" t="s">
        <v>877</v>
      </c>
      <c r="T247" s="56"/>
    </row>
    <row r="248" spans="1:22" s="29" customFormat="1" ht="15.75" customHeight="1" x14ac:dyDescent="0.25">
      <c r="B248" s="56" t="s">
        <v>334</v>
      </c>
      <c r="C248" s="56" t="s">
        <v>1644</v>
      </c>
      <c r="D248" s="56" t="s">
        <v>355</v>
      </c>
      <c r="E248" s="56" t="s">
        <v>356</v>
      </c>
      <c r="F248" s="56"/>
      <c r="G248" s="56"/>
      <c r="H248" s="56">
        <v>0.46</v>
      </c>
      <c r="I248" s="56"/>
      <c r="J248" s="56">
        <v>2018</v>
      </c>
      <c r="K248" s="56"/>
      <c r="L248" s="56"/>
      <c r="M248" s="56"/>
      <c r="N248" s="56"/>
      <c r="O248" s="56"/>
      <c r="P248" s="112" t="s">
        <v>1638</v>
      </c>
      <c r="Q248" s="112" t="s">
        <v>1034</v>
      </c>
      <c r="R248" s="71" t="s">
        <v>1276</v>
      </c>
      <c r="S248" s="71" t="s">
        <v>1639</v>
      </c>
      <c r="T248" s="56"/>
    </row>
    <row r="249" spans="1:22" s="29" customFormat="1" ht="15.75" customHeight="1" x14ac:dyDescent="0.25">
      <c r="B249" s="56"/>
      <c r="C249" s="56"/>
      <c r="D249" s="56"/>
      <c r="E249" s="56"/>
      <c r="F249" s="56"/>
      <c r="G249" s="56"/>
      <c r="H249" s="56"/>
      <c r="I249" s="56"/>
      <c r="J249" s="56"/>
      <c r="K249" s="56"/>
      <c r="L249" s="56"/>
      <c r="M249" s="56"/>
      <c r="N249" s="56"/>
      <c r="O249" s="56"/>
      <c r="P249" s="112"/>
      <c r="Q249" s="112"/>
      <c r="R249" s="71"/>
      <c r="S249" s="71"/>
      <c r="T249" s="56"/>
    </row>
    <row r="250" spans="1:22" s="29" customFormat="1" ht="15.75" customHeight="1" thickBot="1" x14ac:dyDescent="0.3">
      <c r="B250" s="56"/>
      <c r="C250" s="56"/>
      <c r="D250" s="56"/>
      <c r="E250" s="56"/>
      <c r="F250" s="56"/>
      <c r="G250" s="56"/>
      <c r="H250" s="56"/>
      <c r="I250" s="56"/>
      <c r="J250" s="56"/>
      <c r="K250" s="72"/>
      <c r="L250" s="72"/>
      <c r="M250" s="72"/>
      <c r="N250" s="72"/>
      <c r="O250" s="72"/>
      <c r="P250" s="114"/>
      <c r="Q250" s="114"/>
      <c r="R250" s="115"/>
      <c r="S250" s="115"/>
      <c r="T250" s="56"/>
    </row>
    <row r="251" spans="1:22" s="29" customFormat="1" ht="15.75" customHeight="1" thickTop="1" x14ac:dyDescent="0.25">
      <c r="B251" s="74"/>
      <c r="C251" s="74"/>
      <c r="D251" s="74"/>
      <c r="E251" s="74"/>
      <c r="F251" s="74"/>
      <c r="G251" s="74"/>
      <c r="H251" s="74"/>
      <c r="I251" s="74"/>
      <c r="J251" s="74"/>
      <c r="K251" s="56"/>
      <c r="L251" s="56"/>
      <c r="M251" s="56"/>
      <c r="N251" s="56"/>
      <c r="O251" s="56"/>
      <c r="P251" s="116"/>
      <c r="Q251" s="112"/>
      <c r="R251" s="71"/>
      <c r="S251" s="71"/>
      <c r="T251" s="56"/>
    </row>
    <row r="252" spans="1:22" s="29" customFormat="1" ht="15.75" customHeight="1" x14ac:dyDescent="0.25">
      <c r="B252" s="56" t="s">
        <v>334</v>
      </c>
      <c r="C252" s="56" t="s">
        <v>571</v>
      </c>
      <c r="D252" s="56" t="s">
        <v>361</v>
      </c>
      <c r="E252" s="56" t="s">
        <v>362</v>
      </c>
      <c r="F252" s="56"/>
      <c r="G252" s="102">
        <v>0</v>
      </c>
      <c r="H252" s="56"/>
      <c r="I252" s="102">
        <v>8</v>
      </c>
      <c r="J252" s="56">
        <v>2017</v>
      </c>
      <c r="K252" s="56"/>
      <c r="L252" s="56"/>
      <c r="M252" s="56"/>
      <c r="N252" s="56" t="s">
        <v>1398</v>
      </c>
      <c r="O252" s="56">
        <v>468</v>
      </c>
      <c r="P252" s="112" t="s">
        <v>1459</v>
      </c>
      <c r="Q252" s="112" t="s">
        <v>855</v>
      </c>
      <c r="R252" s="71" t="s">
        <v>1595</v>
      </c>
      <c r="S252" s="71" t="s">
        <v>1453</v>
      </c>
      <c r="T252" s="56"/>
    </row>
    <row r="253" spans="1:22" s="29" customFormat="1" ht="15.75" customHeight="1" x14ac:dyDescent="0.25">
      <c r="B253" s="56" t="s">
        <v>334</v>
      </c>
      <c r="C253" s="56" t="s">
        <v>571</v>
      </c>
      <c r="D253" s="56" t="s">
        <v>363</v>
      </c>
      <c r="E253" s="56" t="s">
        <v>364</v>
      </c>
      <c r="F253" s="56"/>
      <c r="G253" s="102">
        <v>0.1</v>
      </c>
      <c r="H253" s="102">
        <v>2.2999999999999998</v>
      </c>
      <c r="I253" s="102">
        <v>4.5999999999999996</v>
      </c>
      <c r="J253" s="56">
        <v>2012</v>
      </c>
      <c r="K253" s="56" t="s">
        <v>691</v>
      </c>
      <c r="L253" s="56" t="s">
        <v>837</v>
      </c>
      <c r="M253" s="56" t="s">
        <v>693</v>
      </c>
      <c r="N253" s="56" t="s">
        <v>697</v>
      </c>
      <c r="O253" s="56" t="s">
        <v>838</v>
      </c>
      <c r="P253" s="112" t="s">
        <v>1112</v>
      </c>
      <c r="Q253" s="112" t="s">
        <v>845</v>
      </c>
      <c r="R253" s="71" t="s">
        <v>561</v>
      </c>
      <c r="S253" s="71" t="s">
        <v>1111</v>
      </c>
      <c r="T253" s="56"/>
    </row>
    <row r="254" spans="1:22" s="29" customFormat="1" ht="15.75" customHeight="1" x14ac:dyDescent="0.25">
      <c r="B254" s="56" t="s">
        <v>334</v>
      </c>
      <c r="C254" s="56" t="s">
        <v>571</v>
      </c>
      <c r="D254" s="56" t="s">
        <v>365</v>
      </c>
      <c r="E254" s="56" t="s">
        <v>366</v>
      </c>
      <c r="F254" s="56"/>
      <c r="G254" s="56"/>
      <c r="H254" s="56">
        <v>2.7</v>
      </c>
      <c r="I254" s="56"/>
      <c r="J254" s="56">
        <v>2017</v>
      </c>
      <c r="K254" s="56" t="s">
        <v>702</v>
      </c>
      <c r="L254" s="56"/>
      <c r="M254" s="56"/>
      <c r="N254" s="56" t="s">
        <v>697</v>
      </c>
      <c r="O254" s="56">
        <v>288</v>
      </c>
      <c r="P254" s="112" t="s">
        <v>480</v>
      </c>
      <c r="Q254" s="112" t="s">
        <v>855</v>
      </c>
      <c r="R254" s="71" t="s">
        <v>480</v>
      </c>
      <c r="S254" s="71" t="s">
        <v>1405</v>
      </c>
      <c r="T254" s="56"/>
    </row>
    <row r="255" spans="1:22" s="29" customFormat="1" ht="15.75" customHeight="1" x14ac:dyDescent="0.25">
      <c r="A255" s="32"/>
      <c r="B255" s="56" t="s">
        <v>334</v>
      </c>
      <c r="C255" s="56" t="s">
        <v>571</v>
      </c>
      <c r="D255" s="56" t="s">
        <v>367</v>
      </c>
      <c r="E255" s="56" t="s">
        <v>943</v>
      </c>
      <c r="F255" s="56"/>
      <c r="G255" s="102"/>
      <c r="H255" s="56">
        <v>0</v>
      </c>
      <c r="I255" s="56"/>
      <c r="J255" s="78">
        <v>2016</v>
      </c>
      <c r="K255" s="56"/>
      <c r="L255" s="56"/>
      <c r="M255" s="56"/>
      <c r="N255" s="56" t="s">
        <v>697</v>
      </c>
      <c r="O255" s="56"/>
      <c r="P255" s="112" t="s">
        <v>480</v>
      </c>
      <c r="Q255" s="112" t="s">
        <v>855</v>
      </c>
      <c r="R255" s="71" t="s">
        <v>1216</v>
      </c>
      <c r="S255" s="71"/>
      <c r="T255" s="56"/>
    </row>
    <row r="256" spans="1:22" s="29" customFormat="1" ht="15.75" customHeight="1" x14ac:dyDescent="0.25">
      <c r="A256" s="32"/>
      <c r="B256" s="56" t="s">
        <v>334</v>
      </c>
      <c r="C256" s="56" t="s">
        <v>571</v>
      </c>
      <c r="D256" s="56" t="s">
        <v>368</v>
      </c>
      <c r="E256" s="56" t="s">
        <v>369</v>
      </c>
      <c r="F256" s="56"/>
      <c r="G256" s="56"/>
      <c r="H256" s="56">
        <v>3.8</v>
      </c>
      <c r="I256" s="56"/>
      <c r="J256" s="56">
        <v>2006</v>
      </c>
      <c r="K256" s="56" t="s">
        <v>702</v>
      </c>
      <c r="L256" s="56"/>
      <c r="M256" s="56"/>
      <c r="N256" s="56" t="s">
        <v>697</v>
      </c>
      <c r="O256" s="56"/>
      <c r="P256" s="112" t="s">
        <v>1113</v>
      </c>
      <c r="Q256" s="112" t="s">
        <v>855</v>
      </c>
      <c r="R256" s="71" t="s">
        <v>1114</v>
      </c>
      <c r="S256" s="71" t="s">
        <v>878</v>
      </c>
      <c r="T256" s="56"/>
    </row>
    <row r="257" spans="1:24" s="29" customFormat="1" ht="15.75" customHeight="1" x14ac:dyDescent="0.25">
      <c r="B257" s="56" t="s">
        <v>334</v>
      </c>
      <c r="C257" s="56" t="s">
        <v>571</v>
      </c>
      <c r="D257" s="56" t="s">
        <v>370</v>
      </c>
      <c r="E257" s="56" t="s">
        <v>371</v>
      </c>
      <c r="F257" s="56"/>
      <c r="G257" s="102"/>
      <c r="H257" s="102">
        <v>51</v>
      </c>
      <c r="I257" s="102"/>
      <c r="J257" s="56">
        <v>2018</v>
      </c>
      <c r="K257" s="56"/>
      <c r="L257" s="56" t="s">
        <v>692</v>
      </c>
      <c r="M257" s="56" t="s">
        <v>693</v>
      </c>
      <c r="N257" s="56" t="s">
        <v>1407</v>
      </c>
      <c r="O257" s="56">
        <v>350</v>
      </c>
      <c r="P257" s="112" t="s">
        <v>1176</v>
      </c>
      <c r="Q257" s="112" t="s">
        <v>845</v>
      </c>
      <c r="R257" s="71" t="s">
        <v>1596</v>
      </c>
      <c r="S257" s="71"/>
      <c r="T257" s="56"/>
    </row>
    <row r="258" spans="1:24" s="29" customFormat="1" ht="15.75" customHeight="1" x14ac:dyDescent="0.25">
      <c r="B258" s="56" t="s">
        <v>334</v>
      </c>
      <c r="C258" s="56" t="s">
        <v>571</v>
      </c>
      <c r="D258" s="56" t="s">
        <v>373</v>
      </c>
      <c r="E258" s="56" t="s">
        <v>374</v>
      </c>
      <c r="F258" s="56"/>
      <c r="G258" s="56"/>
      <c r="H258" s="56">
        <v>1.5</v>
      </c>
      <c r="I258" s="56"/>
      <c r="J258" s="56">
        <v>2014</v>
      </c>
      <c r="K258" s="56"/>
      <c r="L258" s="56"/>
      <c r="M258" s="56"/>
      <c r="N258" s="56" t="s">
        <v>839</v>
      </c>
      <c r="O258" s="56">
        <v>600</v>
      </c>
      <c r="P258" s="112" t="s">
        <v>480</v>
      </c>
      <c r="Q258" s="112" t="s">
        <v>846</v>
      </c>
      <c r="R258" s="71" t="s">
        <v>920</v>
      </c>
      <c r="S258" s="71" t="s">
        <v>879</v>
      </c>
      <c r="T258" s="56"/>
    </row>
    <row r="259" spans="1:24" s="29" customFormat="1" ht="15.75" customHeight="1" x14ac:dyDescent="0.25">
      <c r="B259" s="56" t="s">
        <v>334</v>
      </c>
      <c r="C259" s="56" t="s">
        <v>571</v>
      </c>
      <c r="D259" s="56" t="s">
        <v>375</v>
      </c>
      <c r="E259" s="56" t="s">
        <v>376</v>
      </c>
      <c r="F259" s="56"/>
      <c r="G259" s="102"/>
      <c r="H259" s="102">
        <v>13.3</v>
      </c>
      <c r="I259" s="102"/>
      <c r="J259" s="56">
        <v>2011</v>
      </c>
      <c r="K259" s="56" t="s">
        <v>702</v>
      </c>
      <c r="L259" s="56" t="s">
        <v>692</v>
      </c>
      <c r="M259" s="56" t="s">
        <v>693</v>
      </c>
      <c r="N259" s="56" t="s">
        <v>840</v>
      </c>
      <c r="O259" s="70">
        <v>1033</v>
      </c>
      <c r="P259" s="112" t="s">
        <v>480</v>
      </c>
      <c r="Q259" s="112" t="s">
        <v>860</v>
      </c>
      <c r="R259" s="71" t="s">
        <v>666</v>
      </c>
      <c r="S259" s="71"/>
      <c r="T259" s="56"/>
    </row>
    <row r="260" spans="1:24" s="29" customFormat="1" ht="15.75" customHeight="1" x14ac:dyDescent="0.25">
      <c r="B260" s="56" t="s">
        <v>334</v>
      </c>
      <c r="C260" s="56" t="s">
        <v>571</v>
      </c>
      <c r="D260" s="56" t="s">
        <v>377</v>
      </c>
      <c r="E260" s="56" t="s">
        <v>378</v>
      </c>
      <c r="F260" s="56"/>
      <c r="G260" s="102">
        <v>0</v>
      </c>
      <c r="H260" s="56"/>
      <c r="I260" s="56">
        <v>9.1</v>
      </c>
      <c r="J260" s="78" t="s">
        <v>656</v>
      </c>
      <c r="K260" s="56" t="s">
        <v>691</v>
      </c>
      <c r="L260" s="56" t="s">
        <v>714</v>
      </c>
      <c r="M260" s="56" t="s">
        <v>693</v>
      </c>
      <c r="N260" s="56" t="s">
        <v>841</v>
      </c>
      <c r="O260" s="56" t="s">
        <v>842</v>
      </c>
      <c r="P260" s="112" t="s">
        <v>1177</v>
      </c>
      <c r="Q260" s="112" t="s">
        <v>861</v>
      </c>
      <c r="R260" s="71" t="s">
        <v>657</v>
      </c>
      <c r="S260" s="71"/>
      <c r="T260" s="56"/>
    </row>
    <row r="261" spans="1:24" s="29" customFormat="1" ht="15.75" customHeight="1" x14ac:dyDescent="0.25">
      <c r="B261" s="56" t="s">
        <v>334</v>
      </c>
      <c r="C261" s="56" t="s">
        <v>571</v>
      </c>
      <c r="D261" s="56" t="s">
        <v>381</v>
      </c>
      <c r="E261" s="56" t="s">
        <v>382</v>
      </c>
      <c r="F261" s="56"/>
      <c r="G261" s="102"/>
      <c r="H261" s="56">
        <v>6.5</v>
      </c>
      <c r="I261" s="102"/>
      <c r="J261" s="56">
        <v>2017</v>
      </c>
      <c r="K261" s="56"/>
      <c r="L261" s="56"/>
      <c r="M261" s="56"/>
      <c r="N261" s="56" t="s">
        <v>697</v>
      </c>
      <c r="O261" s="56"/>
      <c r="P261" s="112" t="s">
        <v>600</v>
      </c>
      <c r="Q261" s="112" t="s">
        <v>855</v>
      </c>
      <c r="R261" s="71" t="s">
        <v>1217</v>
      </c>
      <c r="S261" s="71"/>
      <c r="T261" s="56"/>
    </row>
    <row r="262" spans="1:24" s="29" customFormat="1" ht="15.75" customHeight="1" x14ac:dyDescent="0.25">
      <c r="A262" s="32"/>
      <c r="B262" s="56" t="s">
        <v>334</v>
      </c>
      <c r="C262" s="56" t="s">
        <v>571</v>
      </c>
      <c r="D262" s="56" t="s">
        <v>385</v>
      </c>
      <c r="E262" s="56" t="s">
        <v>386</v>
      </c>
      <c r="F262" s="56"/>
      <c r="G262" s="56"/>
      <c r="H262" s="56">
        <v>0.17</v>
      </c>
      <c r="I262" s="56"/>
      <c r="J262" s="56">
        <v>2015</v>
      </c>
      <c r="K262" s="56"/>
      <c r="L262" s="56"/>
      <c r="M262" s="56" t="s">
        <v>693</v>
      </c>
      <c r="N262" s="56" t="s">
        <v>843</v>
      </c>
      <c r="O262" s="56">
        <v>596</v>
      </c>
      <c r="P262" s="112" t="s">
        <v>1178</v>
      </c>
      <c r="Q262" s="112" t="s">
        <v>846</v>
      </c>
      <c r="R262" s="71" t="s">
        <v>1122</v>
      </c>
      <c r="S262" s="71" t="s">
        <v>1121</v>
      </c>
      <c r="T262" s="56"/>
    </row>
    <row r="263" spans="1:24" s="29" customFormat="1" ht="15.75" customHeight="1" x14ac:dyDescent="0.25">
      <c r="A263" s="32"/>
      <c r="B263" s="56" t="s">
        <v>334</v>
      </c>
      <c r="C263" s="56" t="s">
        <v>571</v>
      </c>
      <c r="D263" s="56" t="s">
        <v>387</v>
      </c>
      <c r="E263" s="56" t="s">
        <v>388</v>
      </c>
      <c r="F263" s="56"/>
      <c r="G263" s="56"/>
      <c r="H263" s="56">
        <v>5</v>
      </c>
      <c r="I263" s="56"/>
      <c r="J263" s="56">
        <v>2017</v>
      </c>
      <c r="K263" s="56"/>
      <c r="L263" s="56"/>
      <c r="M263" s="56"/>
      <c r="N263" s="56" t="s">
        <v>697</v>
      </c>
      <c r="O263" s="56" t="s">
        <v>508</v>
      </c>
      <c r="P263" s="112" t="s">
        <v>480</v>
      </c>
      <c r="Q263" s="112" t="s">
        <v>855</v>
      </c>
      <c r="R263" s="71" t="s">
        <v>1138</v>
      </c>
      <c r="S263" s="71" t="s">
        <v>1218</v>
      </c>
      <c r="T263" s="56"/>
    </row>
    <row r="264" spans="1:24" s="29" customFormat="1" ht="15.75" customHeight="1" x14ac:dyDescent="0.25">
      <c r="B264" s="56" t="s">
        <v>334</v>
      </c>
      <c r="C264" s="56" t="s">
        <v>571</v>
      </c>
      <c r="D264" s="56" t="s">
        <v>389</v>
      </c>
      <c r="E264" s="56" t="s">
        <v>390</v>
      </c>
      <c r="F264" s="56"/>
      <c r="G264" s="56"/>
      <c r="H264" s="102">
        <v>11</v>
      </c>
      <c r="I264" s="56"/>
      <c r="J264" s="78" t="s">
        <v>980</v>
      </c>
      <c r="K264" s="56"/>
      <c r="L264" s="56"/>
      <c r="M264" s="56"/>
      <c r="N264" s="56" t="s">
        <v>981</v>
      </c>
      <c r="O264" s="56"/>
      <c r="P264" s="112" t="s">
        <v>983</v>
      </c>
      <c r="Q264" s="112" t="s">
        <v>855</v>
      </c>
      <c r="R264" s="71" t="s">
        <v>923</v>
      </c>
      <c r="S264" s="71" t="s">
        <v>982</v>
      </c>
      <c r="T264" s="56"/>
    </row>
    <row r="265" spans="1:24" s="29" customFormat="1" ht="15.75" customHeight="1" x14ac:dyDescent="0.25">
      <c r="A265" s="32"/>
      <c r="B265" s="56" t="s">
        <v>334</v>
      </c>
      <c r="C265" s="56" t="s">
        <v>571</v>
      </c>
      <c r="D265" s="56" t="s">
        <v>393</v>
      </c>
      <c r="E265" s="56" t="s">
        <v>394</v>
      </c>
      <c r="F265" s="56"/>
      <c r="G265" s="102"/>
      <c r="H265" s="56">
        <v>30.5</v>
      </c>
      <c r="I265" s="56"/>
      <c r="J265" s="56">
        <v>2018</v>
      </c>
      <c r="K265" s="56"/>
      <c r="L265" s="56"/>
      <c r="M265" s="56"/>
      <c r="N265" s="56"/>
      <c r="O265" s="56"/>
      <c r="P265" s="112" t="s">
        <v>480</v>
      </c>
      <c r="Q265" s="112" t="s">
        <v>855</v>
      </c>
      <c r="R265" s="71" t="s">
        <v>1225</v>
      </c>
      <c r="S265" s="71"/>
      <c r="T265" s="56"/>
    </row>
    <row r="266" spans="1:24" s="29" customFormat="1" ht="15.75" customHeight="1" x14ac:dyDescent="0.25">
      <c r="A266" s="32"/>
      <c r="B266" s="56" t="s">
        <v>334</v>
      </c>
      <c r="C266" s="56" t="s">
        <v>571</v>
      </c>
      <c r="D266" s="56" t="s">
        <v>395</v>
      </c>
      <c r="E266" s="56" t="s">
        <v>396</v>
      </c>
      <c r="F266" s="56"/>
      <c r="G266" s="56"/>
      <c r="H266" s="56">
        <v>25.7</v>
      </c>
      <c r="I266" s="56"/>
      <c r="J266" s="56">
        <v>2017</v>
      </c>
      <c r="K266" s="56" t="s">
        <v>1414</v>
      </c>
      <c r="L266" s="56" t="s">
        <v>508</v>
      </c>
      <c r="M266" s="56" t="s">
        <v>693</v>
      </c>
      <c r="N266" s="56" t="s">
        <v>1413</v>
      </c>
      <c r="O266" s="56" t="s">
        <v>1415</v>
      </c>
      <c r="P266" s="112" t="s">
        <v>633</v>
      </c>
      <c r="Q266" s="112" t="s">
        <v>961</v>
      </c>
      <c r="R266" s="71" t="s">
        <v>1207</v>
      </c>
      <c r="S266" s="71" t="s">
        <v>1416</v>
      </c>
      <c r="T266" s="56"/>
      <c r="X266" s="32"/>
    </row>
    <row r="267" spans="1:24" s="29" customFormat="1" ht="15.75" customHeight="1" x14ac:dyDescent="0.25">
      <c r="A267" s="32"/>
      <c r="B267" s="56" t="s">
        <v>334</v>
      </c>
      <c r="C267" s="56" t="s">
        <v>571</v>
      </c>
      <c r="D267" s="56" t="s">
        <v>399</v>
      </c>
      <c r="E267" s="56" t="s">
        <v>400</v>
      </c>
      <c r="F267" s="56"/>
      <c r="G267" s="102"/>
      <c r="H267" s="102">
        <v>21.2</v>
      </c>
      <c r="I267" s="56"/>
      <c r="J267" s="56">
        <v>2018</v>
      </c>
      <c r="K267" s="56"/>
      <c r="L267" s="56"/>
      <c r="M267" s="56"/>
      <c r="N267" s="56" t="s">
        <v>1524</v>
      </c>
      <c r="O267" s="56"/>
      <c r="P267" s="112" t="s">
        <v>507</v>
      </c>
      <c r="Q267" s="112" t="s">
        <v>856</v>
      </c>
      <c r="R267" s="71" t="s">
        <v>1597</v>
      </c>
      <c r="S267" s="71"/>
      <c r="T267" s="56"/>
    </row>
    <row r="268" spans="1:24" s="29" customFormat="1" ht="15.75" customHeight="1" x14ac:dyDescent="0.25">
      <c r="A268" s="32"/>
      <c r="B268" s="56" t="s">
        <v>334</v>
      </c>
      <c r="C268" s="56" t="s">
        <v>571</v>
      </c>
      <c r="D268" s="56" t="s">
        <v>401</v>
      </c>
      <c r="E268" s="56" t="s">
        <v>402</v>
      </c>
      <c r="F268" s="56"/>
      <c r="G268" s="56"/>
      <c r="H268" s="56">
        <v>9.09</v>
      </c>
      <c r="I268" s="56"/>
      <c r="J268" s="56">
        <v>2017</v>
      </c>
      <c r="K268" s="56"/>
      <c r="L268" s="56"/>
      <c r="M268" s="56"/>
      <c r="N268" s="56" t="s">
        <v>697</v>
      </c>
      <c r="O268" s="56"/>
      <c r="P268" s="112" t="s">
        <v>1460</v>
      </c>
      <c r="Q268" s="112" t="s">
        <v>846</v>
      </c>
      <c r="R268" s="56" t="s">
        <v>1598</v>
      </c>
      <c r="S268" s="71"/>
      <c r="T268" s="56"/>
    </row>
    <row r="269" spans="1:24" s="29" customFormat="1" ht="15.75" customHeight="1" x14ac:dyDescent="0.25">
      <c r="B269" s="56" t="s">
        <v>334</v>
      </c>
      <c r="C269" s="56" t="s">
        <v>571</v>
      </c>
      <c r="D269" s="56" t="s">
        <v>403</v>
      </c>
      <c r="E269" s="56" t="s">
        <v>404</v>
      </c>
      <c r="F269" s="56"/>
      <c r="G269" s="56"/>
      <c r="H269" s="56">
        <v>0</v>
      </c>
      <c r="I269" s="56"/>
      <c r="J269" s="56">
        <v>2017</v>
      </c>
      <c r="K269" s="56"/>
      <c r="L269" s="56"/>
      <c r="M269" s="56"/>
      <c r="N269" s="56" t="s">
        <v>697</v>
      </c>
      <c r="O269" s="56">
        <v>567</v>
      </c>
      <c r="P269" s="112" t="s">
        <v>480</v>
      </c>
      <c r="Q269" s="112" t="s">
        <v>855</v>
      </c>
      <c r="R269" s="71" t="s">
        <v>480</v>
      </c>
      <c r="S269" s="71" t="s">
        <v>1420</v>
      </c>
      <c r="T269" s="56"/>
    </row>
    <row r="270" spans="1:24" s="29" customFormat="1" ht="15.75" customHeight="1" x14ac:dyDescent="0.25">
      <c r="B270" s="56" t="s">
        <v>334</v>
      </c>
      <c r="C270" s="56" t="s">
        <v>571</v>
      </c>
      <c r="D270" s="56" t="s">
        <v>407</v>
      </c>
      <c r="E270" s="56" t="s">
        <v>408</v>
      </c>
      <c r="F270" s="56"/>
      <c r="G270" s="102"/>
      <c r="H270" s="102">
        <v>3.8</v>
      </c>
      <c r="I270" s="56"/>
      <c r="J270" s="78">
        <v>2016</v>
      </c>
      <c r="K270" s="56"/>
      <c r="L270" s="56"/>
      <c r="M270" s="56"/>
      <c r="N270" s="56" t="s">
        <v>844</v>
      </c>
      <c r="O270" s="56"/>
      <c r="P270" s="112" t="s">
        <v>484</v>
      </c>
      <c r="Q270" s="112" t="s">
        <v>855</v>
      </c>
      <c r="R270" s="71" t="s">
        <v>1180</v>
      </c>
      <c r="S270" s="71" t="s">
        <v>1179</v>
      </c>
      <c r="T270" s="56"/>
    </row>
    <row r="271" spans="1:24" s="29" customFormat="1" ht="15.75" customHeight="1" x14ac:dyDescent="0.25">
      <c r="B271" s="56" t="s">
        <v>334</v>
      </c>
      <c r="C271" s="56" t="s">
        <v>571</v>
      </c>
      <c r="D271" s="56" t="s">
        <v>409</v>
      </c>
      <c r="E271" s="56" t="s">
        <v>410</v>
      </c>
      <c r="F271" s="56"/>
      <c r="G271" s="56"/>
      <c r="H271" s="102">
        <v>1.4</v>
      </c>
      <c r="I271" s="56"/>
      <c r="J271" s="56">
        <v>2017</v>
      </c>
      <c r="K271" s="56"/>
      <c r="L271" s="56"/>
      <c r="M271" s="56"/>
      <c r="N271" s="56" t="s">
        <v>697</v>
      </c>
      <c r="O271" s="56">
        <v>6453</v>
      </c>
      <c r="P271" s="112" t="s">
        <v>480</v>
      </c>
      <c r="Q271" s="112" t="s">
        <v>1451</v>
      </c>
      <c r="R271" s="71" t="s">
        <v>1126</v>
      </c>
      <c r="S271" s="71" t="s">
        <v>1452</v>
      </c>
      <c r="T271" s="56"/>
    </row>
    <row r="272" spans="1:24" s="29" customFormat="1" ht="15.75" customHeight="1" x14ac:dyDescent="0.25">
      <c r="A272" s="32"/>
      <c r="B272" s="56" t="s">
        <v>334</v>
      </c>
      <c r="C272" s="56" t="s">
        <v>571</v>
      </c>
      <c r="D272" s="56" t="s">
        <v>411</v>
      </c>
      <c r="E272" s="56" t="s">
        <v>412</v>
      </c>
      <c r="F272" s="56"/>
      <c r="G272" s="56"/>
      <c r="H272" s="56">
        <v>18.5</v>
      </c>
      <c r="I272" s="56"/>
      <c r="J272" s="56">
        <v>2017</v>
      </c>
      <c r="K272" s="56" t="s">
        <v>702</v>
      </c>
      <c r="L272" s="56" t="s">
        <v>804</v>
      </c>
      <c r="M272" s="56" t="s">
        <v>693</v>
      </c>
      <c r="N272" s="56" t="s">
        <v>1422</v>
      </c>
      <c r="O272" s="56">
        <v>173</v>
      </c>
      <c r="P272" s="112" t="s">
        <v>1067</v>
      </c>
      <c r="Q272" s="112" t="s">
        <v>1423</v>
      </c>
      <c r="R272" s="71" t="s">
        <v>1599</v>
      </c>
      <c r="S272" s="71"/>
      <c r="T272" s="56"/>
    </row>
    <row r="273" spans="1:21" s="29" customFormat="1" ht="15.75" customHeight="1" x14ac:dyDescent="0.25">
      <c r="A273" s="32"/>
      <c r="B273" s="56" t="s">
        <v>334</v>
      </c>
      <c r="C273" s="56" t="s">
        <v>571</v>
      </c>
      <c r="D273" s="56" t="s">
        <v>413</v>
      </c>
      <c r="E273" s="56" t="s">
        <v>414</v>
      </c>
      <c r="F273" s="56"/>
      <c r="G273" s="56"/>
      <c r="H273" s="56">
        <v>18.68</v>
      </c>
      <c r="I273" s="56"/>
      <c r="J273" s="78">
        <v>2018</v>
      </c>
      <c r="K273" s="56" t="s">
        <v>702</v>
      </c>
      <c r="L273" s="56"/>
      <c r="M273" s="56"/>
      <c r="N273" s="56" t="s">
        <v>697</v>
      </c>
      <c r="O273" s="56"/>
      <c r="P273" s="112" t="s">
        <v>480</v>
      </c>
      <c r="Q273" s="112" t="s">
        <v>855</v>
      </c>
      <c r="R273" s="71" t="s">
        <v>1220</v>
      </c>
      <c r="S273" s="71" t="s">
        <v>1427</v>
      </c>
      <c r="T273" s="56"/>
    </row>
    <row r="274" spans="1:21" s="29" customFormat="1" ht="15.75" customHeight="1" x14ac:dyDescent="0.25">
      <c r="A274" s="32"/>
      <c r="B274" s="56" t="s">
        <v>334</v>
      </c>
      <c r="C274" s="56" t="s">
        <v>571</v>
      </c>
      <c r="D274" s="56" t="s">
        <v>417</v>
      </c>
      <c r="E274" s="56" t="s">
        <v>418</v>
      </c>
      <c r="F274" s="56"/>
      <c r="G274" s="102"/>
      <c r="H274" s="102">
        <v>0.1</v>
      </c>
      <c r="I274" s="102"/>
      <c r="J274" s="56">
        <v>2018</v>
      </c>
      <c r="K274" s="56"/>
      <c r="L274" s="56"/>
      <c r="M274" s="56"/>
      <c r="N274" s="56" t="s">
        <v>697</v>
      </c>
      <c r="O274" s="56"/>
      <c r="P274" s="112" t="s">
        <v>480</v>
      </c>
      <c r="Q274" s="112" t="s">
        <v>855</v>
      </c>
      <c r="R274" s="71" t="s">
        <v>1139</v>
      </c>
      <c r="S274" s="71" t="s">
        <v>1430</v>
      </c>
      <c r="T274" s="56"/>
    </row>
    <row r="275" spans="1:21" s="29" customFormat="1" ht="15.75" customHeight="1" x14ac:dyDescent="0.25">
      <c r="A275" s="32"/>
      <c r="B275" s="56" t="s">
        <v>334</v>
      </c>
      <c r="C275" s="56" t="s">
        <v>571</v>
      </c>
      <c r="D275" s="56" t="s">
        <v>419</v>
      </c>
      <c r="E275" s="56" t="s">
        <v>420</v>
      </c>
      <c r="F275" s="56"/>
      <c r="G275" s="56"/>
      <c r="H275" s="102">
        <v>1.3</v>
      </c>
      <c r="I275" s="56"/>
      <c r="J275" s="56">
        <v>2016</v>
      </c>
      <c r="K275" s="56"/>
      <c r="L275" s="56"/>
      <c r="M275" s="56"/>
      <c r="N275" s="56" t="s">
        <v>697</v>
      </c>
      <c r="O275" s="56"/>
      <c r="P275" s="112" t="s">
        <v>1222</v>
      </c>
      <c r="Q275" s="112" t="s">
        <v>1182</v>
      </c>
      <c r="R275" s="71" t="s">
        <v>1223</v>
      </c>
      <c r="S275" s="71" t="s">
        <v>1181</v>
      </c>
      <c r="T275" s="56"/>
    </row>
    <row r="276" spans="1:21" s="29" customFormat="1" ht="15.75" customHeight="1" x14ac:dyDescent="0.25">
      <c r="A276" s="32"/>
      <c r="B276" s="56" t="s">
        <v>334</v>
      </c>
      <c r="C276" s="56" t="s">
        <v>571</v>
      </c>
      <c r="D276" s="56" t="s">
        <v>415</v>
      </c>
      <c r="E276" s="56" t="s">
        <v>416</v>
      </c>
      <c r="F276" s="56"/>
      <c r="G276" s="56"/>
      <c r="H276" s="56">
        <v>30.8</v>
      </c>
      <c r="I276" s="56"/>
      <c r="J276" s="56">
        <v>2017</v>
      </c>
      <c r="K276" s="56"/>
      <c r="L276" s="56"/>
      <c r="M276" s="56"/>
      <c r="N276" s="56" t="s">
        <v>697</v>
      </c>
      <c r="O276" s="70">
        <v>5946</v>
      </c>
      <c r="P276" s="112" t="s">
        <v>480</v>
      </c>
      <c r="Q276" s="112" t="s">
        <v>1330</v>
      </c>
      <c r="R276" s="71" t="s">
        <v>1600</v>
      </c>
      <c r="S276" s="71" t="s">
        <v>1431</v>
      </c>
      <c r="T276" s="56"/>
    </row>
    <row r="277" spans="1:21" s="29" customFormat="1" ht="15.75" customHeight="1" x14ac:dyDescent="0.25">
      <c r="A277" s="32"/>
      <c r="B277" s="56" t="s">
        <v>334</v>
      </c>
      <c r="C277" s="56" t="s">
        <v>571</v>
      </c>
      <c r="D277" s="56" t="s">
        <v>421</v>
      </c>
      <c r="E277" s="56" t="s">
        <v>422</v>
      </c>
      <c r="F277" s="56"/>
      <c r="G277" s="102"/>
      <c r="H277" s="56">
        <v>3.5</v>
      </c>
      <c r="I277" s="102"/>
      <c r="J277" s="78" t="s">
        <v>926</v>
      </c>
      <c r="K277" s="56"/>
      <c r="L277" s="56"/>
      <c r="M277" s="56"/>
      <c r="N277" s="56" t="s">
        <v>697</v>
      </c>
      <c r="O277" s="56"/>
      <c r="P277" s="112" t="s">
        <v>927</v>
      </c>
      <c r="Q277" s="112" t="s">
        <v>855</v>
      </c>
      <c r="R277" s="71" t="s">
        <v>1127</v>
      </c>
      <c r="S277" s="71" t="s">
        <v>929</v>
      </c>
      <c r="T277" s="56"/>
    </row>
    <row r="278" spans="1:21" s="29" customFormat="1" ht="15.75" customHeight="1" x14ac:dyDescent="0.25">
      <c r="B278" s="56" t="s">
        <v>334</v>
      </c>
      <c r="C278" s="56" t="s">
        <v>571</v>
      </c>
      <c r="D278" s="56" t="s">
        <v>423</v>
      </c>
      <c r="E278" s="56" t="s">
        <v>424</v>
      </c>
      <c r="F278" s="56"/>
      <c r="G278" s="56"/>
      <c r="H278" s="56">
        <v>9.8000000000000007</v>
      </c>
      <c r="I278" s="56"/>
      <c r="J278" s="56">
        <v>2011</v>
      </c>
      <c r="K278" s="56"/>
      <c r="L278" s="56"/>
      <c r="M278" s="56"/>
      <c r="N278" s="56"/>
      <c r="O278" s="56">
        <v>543</v>
      </c>
      <c r="P278" s="112" t="s">
        <v>479</v>
      </c>
      <c r="Q278" s="112" t="s">
        <v>846</v>
      </c>
      <c r="R278" s="71" t="s">
        <v>546</v>
      </c>
      <c r="S278" s="71" t="s">
        <v>948</v>
      </c>
      <c r="T278" s="56"/>
    </row>
    <row r="279" spans="1:21" s="29" customFormat="1" ht="15.75" customHeight="1" x14ac:dyDescent="0.25">
      <c r="B279" s="56" t="s">
        <v>334</v>
      </c>
      <c r="C279" s="56" t="s">
        <v>571</v>
      </c>
      <c r="D279" s="56" t="s">
        <v>426</v>
      </c>
      <c r="E279" s="56" t="s">
        <v>936</v>
      </c>
      <c r="F279" s="56"/>
      <c r="G279" s="56"/>
      <c r="H279" s="69">
        <v>0.87</v>
      </c>
      <c r="I279" s="56"/>
      <c r="J279" s="56">
        <v>2017</v>
      </c>
      <c r="K279" s="56"/>
      <c r="L279" s="56"/>
      <c r="M279" s="56" t="s">
        <v>693</v>
      </c>
      <c r="N279" s="56" t="s">
        <v>1133</v>
      </c>
      <c r="O279" s="70">
        <v>2656</v>
      </c>
      <c r="P279" s="112" t="s">
        <v>1213</v>
      </c>
      <c r="Q279" s="112" t="s">
        <v>846</v>
      </c>
      <c r="R279" s="71" t="s">
        <v>1601</v>
      </c>
      <c r="S279" s="71" t="s">
        <v>1436</v>
      </c>
      <c r="T279" s="56"/>
      <c r="U279" s="32"/>
    </row>
    <row r="280" spans="1:21" s="29" customFormat="1" ht="15.75" customHeight="1" x14ac:dyDescent="0.25">
      <c r="A280" s="32"/>
      <c r="B280" s="56" t="s">
        <v>334</v>
      </c>
      <c r="C280" s="56" t="s">
        <v>571</v>
      </c>
      <c r="D280" s="56" t="s">
        <v>426</v>
      </c>
      <c r="E280" s="56" t="s">
        <v>425</v>
      </c>
      <c r="F280" s="56"/>
      <c r="G280" s="56"/>
      <c r="H280" s="56">
        <v>1.9</v>
      </c>
      <c r="I280" s="56"/>
      <c r="J280" s="78" t="s">
        <v>638</v>
      </c>
      <c r="K280" s="56" t="s">
        <v>702</v>
      </c>
      <c r="L280" s="56"/>
      <c r="M280" s="56" t="s">
        <v>693</v>
      </c>
      <c r="N280" s="56" t="s">
        <v>1029</v>
      </c>
      <c r="O280" s="70">
        <v>1390</v>
      </c>
      <c r="P280" s="112" t="s">
        <v>938</v>
      </c>
      <c r="Q280" s="112" t="s">
        <v>846</v>
      </c>
      <c r="R280" s="71" t="s">
        <v>1030</v>
      </c>
      <c r="S280" s="71" t="s">
        <v>1031</v>
      </c>
      <c r="T280" s="56"/>
    </row>
    <row r="281" spans="1:21" s="29" customFormat="1" ht="15.75" customHeight="1" x14ac:dyDescent="0.25">
      <c r="A281" s="32"/>
      <c r="B281" s="56"/>
      <c r="C281" s="56"/>
      <c r="D281" s="56"/>
      <c r="E281" s="56"/>
      <c r="F281" s="56"/>
      <c r="G281" s="56"/>
      <c r="H281" s="56"/>
      <c r="I281" s="56"/>
      <c r="J281" s="56"/>
      <c r="K281" s="56"/>
      <c r="L281" s="56"/>
      <c r="M281" s="56"/>
      <c r="N281" s="56"/>
      <c r="O281" s="56"/>
      <c r="P281" s="112"/>
      <c r="Q281" s="112"/>
      <c r="R281" s="71"/>
      <c r="S281" s="71"/>
      <c r="T281" s="56"/>
    </row>
    <row r="282" spans="1:21" s="29" customFormat="1" ht="15.75" customHeight="1" x14ac:dyDescent="0.25">
      <c r="B282" s="56"/>
      <c r="C282" s="56"/>
      <c r="D282" s="56"/>
      <c r="E282" s="56"/>
      <c r="F282" s="56"/>
      <c r="G282" s="56"/>
      <c r="H282" s="56"/>
      <c r="I282" s="56"/>
      <c r="J282" s="56"/>
      <c r="K282" s="56"/>
      <c r="L282" s="56"/>
      <c r="M282" s="56"/>
      <c r="N282" s="56"/>
      <c r="O282" s="56"/>
      <c r="P282" s="112"/>
      <c r="Q282" s="112"/>
      <c r="R282" s="71"/>
      <c r="S282" s="71"/>
      <c r="T282" s="56"/>
    </row>
    <row r="283" spans="1:21" s="29" customFormat="1" ht="15.75" customHeight="1" x14ac:dyDescent="0.25">
      <c r="B283" s="56" t="s">
        <v>334</v>
      </c>
      <c r="C283" s="56" t="s">
        <v>571</v>
      </c>
      <c r="D283" s="56" t="s">
        <v>359</v>
      </c>
      <c r="E283" s="56" t="s">
        <v>360</v>
      </c>
      <c r="F283" s="56"/>
      <c r="G283" s="102"/>
      <c r="H283" s="69" t="s">
        <v>1645</v>
      </c>
      <c r="I283" s="102"/>
      <c r="J283" s="56" t="s">
        <v>491</v>
      </c>
      <c r="K283" s="56"/>
      <c r="L283" s="56"/>
      <c r="M283" s="56"/>
      <c r="N283" s="56"/>
      <c r="O283" s="56"/>
      <c r="P283" s="112" t="s">
        <v>491</v>
      </c>
      <c r="Q283" s="112"/>
      <c r="R283" s="71"/>
      <c r="S283" s="71"/>
      <c r="T283" s="56"/>
    </row>
    <row r="284" spans="1:21" s="29" customFormat="1" ht="15.75" customHeight="1" x14ac:dyDescent="0.25">
      <c r="B284" s="56" t="s">
        <v>334</v>
      </c>
      <c r="C284" s="56" t="s">
        <v>571</v>
      </c>
      <c r="D284" s="56" t="s">
        <v>430</v>
      </c>
      <c r="E284" s="56" t="s">
        <v>431</v>
      </c>
      <c r="F284" s="56"/>
      <c r="G284" s="102"/>
      <c r="H284" s="69" t="s">
        <v>1645</v>
      </c>
      <c r="I284" s="102"/>
      <c r="J284" s="56"/>
      <c r="K284" s="56"/>
      <c r="L284" s="56"/>
      <c r="M284" s="56"/>
      <c r="N284" s="56"/>
      <c r="O284" s="56"/>
      <c r="P284" s="112"/>
      <c r="Q284" s="112"/>
      <c r="R284" s="71"/>
      <c r="S284" s="71"/>
      <c r="T284" s="56"/>
    </row>
    <row r="285" spans="1:21" s="29" customFormat="1" ht="15.75" customHeight="1" x14ac:dyDescent="0.25">
      <c r="B285" s="56" t="s">
        <v>334</v>
      </c>
      <c r="C285" s="56" t="s">
        <v>571</v>
      </c>
      <c r="D285" s="56" t="s">
        <v>372</v>
      </c>
      <c r="E285" s="56" t="s">
        <v>1010</v>
      </c>
      <c r="F285" s="56"/>
      <c r="G285" s="102"/>
      <c r="H285" s="69" t="s">
        <v>1645</v>
      </c>
      <c r="I285" s="102"/>
      <c r="J285" s="56"/>
      <c r="K285" s="56"/>
      <c r="L285" s="56"/>
      <c r="M285" s="56"/>
      <c r="N285" s="56"/>
      <c r="O285" s="56"/>
      <c r="P285" s="112"/>
      <c r="Q285" s="112"/>
      <c r="R285" s="71"/>
      <c r="S285" s="71"/>
      <c r="T285" s="56"/>
    </row>
    <row r="286" spans="1:21" s="29" customFormat="1" ht="15.75" customHeight="1" x14ac:dyDescent="0.25">
      <c r="B286" s="56" t="s">
        <v>334</v>
      </c>
      <c r="C286" s="56" t="s">
        <v>571</v>
      </c>
      <c r="D286" s="56" t="s">
        <v>379</v>
      </c>
      <c r="E286" s="56" t="s">
        <v>380</v>
      </c>
      <c r="F286" s="56"/>
      <c r="G286" s="102"/>
      <c r="H286" s="69" t="s">
        <v>1645</v>
      </c>
      <c r="I286" s="102"/>
      <c r="J286" s="56"/>
      <c r="K286" s="56"/>
      <c r="L286" s="56"/>
      <c r="M286" s="56"/>
      <c r="N286" s="56"/>
      <c r="O286" s="56"/>
      <c r="P286" s="112"/>
      <c r="Q286" s="112"/>
      <c r="R286" s="71"/>
      <c r="S286" s="71"/>
      <c r="T286" s="56"/>
    </row>
    <row r="287" spans="1:21" s="29" customFormat="1" ht="15.75" customHeight="1" x14ac:dyDescent="0.25">
      <c r="B287" s="56" t="s">
        <v>334</v>
      </c>
      <c r="C287" s="56" t="s">
        <v>571</v>
      </c>
      <c r="D287" s="56" t="s">
        <v>1623</v>
      </c>
      <c r="E287" s="56" t="s">
        <v>1624</v>
      </c>
      <c r="F287" s="56"/>
      <c r="G287" s="102"/>
      <c r="H287" s="69" t="s">
        <v>1645</v>
      </c>
      <c r="I287" s="102"/>
      <c r="J287" s="56"/>
      <c r="K287" s="56"/>
      <c r="L287" s="56"/>
      <c r="M287" s="56"/>
      <c r="N287" s="56"/>
      <c r="O287" s="56"/>
      <c r="P287" s="112"/>
      <c r="Q287" s="112"/>
      <c r="R287" s="71"/>
      <c r="S287" s="71"/>
      <c r="T287" s="56"/>
    </row>
    <row r="288" spans="1:21" s="29" customFormat="1" ht="15.75" customHeight="1" x14ac:dyDescent="0.25">
      <c r="B288" s="56" t="s">
        <v>334</v>
      </c>
      <c r="C288" s="56" t="s">
        <v>571</v>
      </c>
      <c r="D288" s="56" t="s">
        <v>391</v>
      </c>
      <c r="E288" s="56" t="s">
        <v>392</v>
      </c>
      <c r="F288" s="56"/>
      <c r="G288" s="102"/>
      <c r="H288" s="69" t="s">
        <v>1645</v>
      </c>
      <c r="I288" s="102"/>
      <c r="J288" s="56"/>
      <c r="K288" s="56"/>
      <c r="L288" s="56"/>
      <c r="M288" s="56"/>
      <c r="N288" s="56"/>
      <c r="O288" s="56"/>
      <c r="P288" s="112"/>
      <c r="Q288" s="112"/>
      <c r="R288" s="71"/>
      <c r="S288" s="71"/>
      <c r="T288" s="56"/>
    </row>
    <row r="289" spans="1:20" s="29" customFormat="1" ht="15.75" customHeight="1" x14ac:dyDescent="0.25">
      <c r="B289" s="56" t="s">
        <v>334</v>
      </c>
      <c r="C289" s="56" t="s">
        <v>571</v>
      </c>
      <c r="D289" s="56" t="s">
        <v>397</v>
      </c>
      <c r="E289" s="56" t="s">
        <v>398</v>
      </c>
      <c r="F289" s="56"/>
      <c r="G289" s="102"/>
      <c r="H289" s="69" t="s">
        <v>1645</v>
      </c>
      <c r="I289" s="102"/>
      <c r="J289" s="56" t="s">
        <v>491</v>
      </c>
      <c r="K289" s="56"/>
      <c r="L289" s="56"/>
      <c r="M289" s="56"/>
      <c r="N289" s="56"/>
      <c r="O289" s="56"/>
      <c r="P289" s="112" t="s">
        <v>491</v>
      </c>
      <c r="Q289" s="112"/>
      <c r="R289" s="71"/>
      <c r="S289" s="71"/>
      <c r="T289" s="56"/>
    </row>
    <row r="290" spans="1:20" s="29" customFormat="1" ht="15.75" customHeight="1" x14ac:dyDescent="0.25">
      <c r="B290" s="56" t="s">
        <v>334</v>
      </c>
      <c r="C290" s="56" t="s">
        <v>571</v>
      </c>
      <c r="D290" s="56" t="s">
        <v>405</v>
      </c>
      <c r="E290" s="56" t="s">
        <v>406</v>
      </c>
      <c r="F290" s="56"/>
      <c r="G290" s="102"/>
      <c r="H290" s="69" t="s">
        <v>1645</v>
      </c>
      <c r="I290" s="102"/>
      <c r="J290" s="56" t="s">
        <v>491</v>
      </c>
      <c r="K290" s="56"/>
      <c r="L290" s="56"/>
      <c r="M290" s="56"/>
      <c r="N290" s="56"/>
      <c r="O290" s="56"/>
      <c r="P290" s="112" t="s">
        <v>491</v>
      </c>
      <c r="Q290" s="112"/>
      <c r="R290" s="71"/>
      <c r="S290" s="71"/>
      <c r="T290" s="56"/>
    </row>
    <row r="291" spans="1:20" s="29" customFormat="1" ht="15.75" customHeight="1" x14ac:dyDescent="0.25">
      <c r="B291" s="56" t="s">
        <v>334</v>
      </c>
      <c r="C291" s="56" t="s">
        <v>571</v>
      </c>
      <c r="D291" s="56" t="s">
        <v>428</v>
      </c>
      <c r="E291" s="56" t="s">
        <v>429</v>
      </c>
      <c r="F291" s="56"/>
      <c r="G291" s="102"/>
      <c r="H291" s="69" t="s">
        <v>1645</v>
      </c>
      <c r="I291" s="102"/>
      <c r="J291" s="56" t="s">
        <v>491</v>
      </c>
      <c r="K291" s="56"/>
      <c r="L291" s="56"/>
      <c r="M291" s="56"/>
      <c r="N291" s="56"/>
      <c r="O291" s="56"/>
      <c r="P291" s="112" t="s">
        <v>491</v>
      </c>
      <c r="Q291" s="112"/>
      <c r="R291" s="71"/>
      <c r="S291" s="71"/>
      <c r="T291" s="56"/>
    </row>
    <row r="292" spans="1:20" s="29" customFormat="1" ht="15.75" customHeight="1" x14ac:dyDescent="0.25">
      <c r="B292" s="56"/>
      <c r="C292" s="56"/>
      <c r="D292" s="56"/>
      <c r="E292" s="56"/>
      <c r="F292" s="56"/>
      <c r="G292" s="56"/>
      <c r="H292" s="56"/>
      <c r="I292" s="56"/>
      <c r="J292" s="56"/>
      <c r="K292" s="56"/>
      <c r="L292" s="56"/>
      <c r="M292" s="56"/>
      <c r="N292" s="56"/>
      <c r="O292" s="56"/>
      <c r="P292" s="112"/>
      <c r="Q292" s="112"/>
      <c r="R292" s="71"/>
      <c r="S292" s="71"/>
      <c r="T292" s="56"/>
    </row>
    <row r="293" spans="1:20" s="29" customFormat="1" ht="15.75" customHeight="1" thickBot="1" x14ac:dyDescent="0.3">
      <c r="B293" s="56"/>
      <c r="C293" s="56"/>
      <c r="D293" s="56"/>
      <c r="E293" s="56"/>
      <c r="F293" s="56"/>
      <c r="G293" s="56"/>
      <c r="H293" s="56"/>
      <c r="I293" s="56"/>
      <c r="J293" s="56"/>
      <c r="K293" s="72"/>
      <c r="L293" s="72"/>
      <c r="M293" s="72"/>
      <c r="N293" s="72"/>
      <c r="O293" s="72"/>
      <c r="P293" s="114"/>
      <c r="Q293" s="114"/>
      <c r="R293" s="115"/>
      <c r="S293" s="115"/>
      <c r="T293" s="56"/>
    </row>
    <row r="294" spans="1:20" s="29" customFormat="1" ht="15.75" customHeight="1" thickTop="1" x14ac:dyDescent="0.25">
      <c r="B294" s="74"/>
      <c r="C294" s="74"/>
      <c r="D294" s="74"/>
      <c r="E294" s="74"/>
      <c r="F294" s="74"/>
      <c r="G294" s="74"/>
      <c r="H294" s="74"/>
      <c r="I294" s="74"/>
      <c r="J294" s="74"/>
      <c r="K294" s="56"/>
      <c r="L294" s="56"/>
      <c r="M294" s="56"/>
      <c r="N294" s="56"/>
      <c r="O294" s="56"/>
      <c r="P294" s="80"/>
      <c r="Q294" s="112"/>
      <c r="R294" s="71"/>
      <c r="S294" s="71"/>
      <c r="T294" s="56"/>
    </row>
    <row r="295" spans="1:20" s="29" customFormat="1" ht="15.75" customHeight="1" x14ac:dyDescent="0.25">
      <c r="A295" s="32"/>
      <c r="B295" s="56" t="s">
        <v>432</v>
      </c>
      <c r="C295" s="56" t="s">
        <v>475</v>
      </c>
      <c r="D295" s="56" t="s">
        <v>435</v>
      </c>
      <c r="E295" s="56" t="s">
        <v>436</v>
      </c>
      <c r="F295" s="56"/>
      <c r="G295" s="56"/>
      <c r="H295" s="56">
        <v>2.1</v>
      </c>
      <c r="I295" s="56"/>
      <c r="J295" s="56">
        <v>2017</v>
      </c>
      <c r="K295" s="56"/>
      <c r="L295" s="56"/>
      <c r="M295" s="56" t="s">
        <v>693</v>
      </c>
      <c r="N295" s="56" t="s">
        <v>697</v>
      </c>
      <c r="O295" s="70" t="s">
        <v>1396</v>
      </c>
      <c r="P295" s="112" t="s">
        <v>1397</v>
      </c>
      <c r="Q295" s="112" t="s">
        <v>862</v>
      </c>
      <c r="R295" s="71" t="s">
        <v>1602</v>
      </c>
      <c r="S295" s="71" t="s">
        <v>1395</v>
      </c>
      <c r="T295" s="56"/>
    </row>
    <row r="296" spans="1:20" s="29" customFormat="1" ht="15.75" customHeight="1" x14ac:dyDescent="0.25">
      <c r="B296" s="56" t="s">
        <v>432</v>
      </c>
      <c r="C296" s="56" t="s">
        <v>475</v>
      </c>
      <c r="D296" s="56" t="s">
        <v>443</v>
      </c>
      <c r="E296" s="56" t="s">
        <v>444</v>
      </c>
      <c r="F296" s="56"/>
      <c r="G296" s="56"/>
      <c r="H296" s="56">
        <v>0.2</v>
      </c>
      <c r="I296" s="56"/>
      <c r="J296" s="56">
        <v>2013</v>
      </c>
      <c r="K296" s="56"/>
      <c r="L296" s="56"/>
      <c r="M296" s="56"/>
      <c r="N296" s="56" t="s">
        <v>697</v>
      </c>
      <c r="O296" s="56">
        <v>689</v>
      </c>
      <c r="P296" s="112" t="s">
        <v>480</v>
      </c>
      <c r="Q296" s="112" t="s">
        <v>863</v>
      </c>
      <c r="R296" s="71" t="s">
        <v>1135</v>
      </c>
      <c r="S296" s="71"/>
      <c r="T296" s="56"/>
    </row>
    <row r="297" spans="1:20" s="29" customFormat="1" ht="15.75" customHeight="1" x14ac:dyDescent="0.25">
      <c r="B297" s="56"/>
      <c r="C297" s="56"/>
      <c r="D297" s="56"/>
      <c r="E297" s="56"/>
      <c r="F297" s="56"/>
      <c r="G297" s="56"/>
      <c r="H297" s="56"/>
      <c r="I297" s="56"/>
      <c r="J297" s="56"/>
      <c r="K297" s="56"/>
      <c r="L297" s="56"/>
      <c r="M297" s="56"/>
      <c r="N297" s="56"/>
      <c r="O297" s="56"/>
      <c r="P297" s="56"/>
      <c r="Q297" s="112"/>
      <c r="R297" s="111"/>
      <c r="S297" s="71"/>
      <c r="T297" s="56"/>
    </row>
    <row r="298" spans="1:20" s="29" customFormat="1" ht="15.75" customHeight="1" x14ac:dyDescent="0.25">
      <c r="B298" s="56"/>
      <c r="C298" s="56"/>
      <c r="D298" s="56"/>
      <c r="E298" s="56"/>
      <c r="F298" s="56"/>
      <c r="G298" s="56"/>
      <c r="H298" s="56"/>
      <c r="I298" s="56"/>
      <c r="J298" s="56"/>
      <c r="K298" s="56"/>
      <c r="L298" s="56"/>
      <c r="M298" s="56"/>
      <c r="N298" s="56"/>
      <c r="O298" s="56"/>
      <c r="P298" s="56"/>
      <c r="Q298" s="56"/>
      <c r="R298" s="111"/>
      <c r="S298" s="71"/>
      <c r="T298" s="56"/>
    </row>
    <row r="299" spans="1:20" s="29" customFormat="1" ht="15.75" customHeight="1" x14ac:dyDescent="0.25">
      <c r="B299" s="56"/>
      <c r="C299" s="56"/>
      <c r="D299" s="56"/>
      <c r="E299" s="56"/>
      <c r="F299" s="56"/>
      <c r="G299" s="56"/>
      <c r="H299" s="56"/>
      <c r="I299" s="56"/>
      <c r="J299" s="56"/>
      <c r="K299" s="56"/>
      <c r="L299" s="56"/>
      <c r="M299" s="56"/>
      <c r="N299" s="56"/>
      <c r="O299" s="56"/>
      <c r="P299" s="56"/>
      <c r="Q299" s="56"/>
      <c r="R299" s="111"/>
      <c r="S299" s="71"/>
      <c r="T299" s="56"/>
    </row>
    <row r="300" spans="1:20" s="29" customFormat="1" ht="15.75" customHeight="1" x14ac:dyDescent="0.25">
      <c r="B300" s="56" t="s">
        <v>432</v>
      </c>
      <c r="C300" s="56" t="s">
        <v>475</v>
      </c>
      <c r="D300" s="56" t="s">
        <v>433</v>
      </c>
      <c r="E300" s="56" t="s">
        <v>434</v>
      </c>
      <c r="F300" s="56"/>
      <c r="G300" s="102"/>
      <c r="H300" s="69" t="s">
        <v>1645</v>
      </c>
      <c r="I300" s="102"/>
      <c r="J300" s="56" t="s">
        <v>491</v>
      </c>
      <c r="K300" s="56"/>
      <c r="L300" s="56"/>
      <c r="M300" s="56"/>
      <c r="N300" s="56"/>
      <c r="O300" s="56"/>
      <c r="P300" s="112" t="s">
        <v>491</v>
      </c>
      <c r="Q300" s="112"/>
      <c r="R300" s="71"/>
      <c r="S300" s="71"/>
      <c r="T300" s="56"/>
    </row>
    <row r="301" spans="1:20" s="29" customFormat="1" ht="15.75" customHeight="1" x14ac:dyDescent="0.25">
      <c r="B301" s="56" t="s">
        <v>432</v>
      </c>
      <c r="C301" s="56" t="s">
        <v>475</v>
      </c>
      <c r="D301" s="56" t="s">
        <v>449</v>
      </c>
      <c r="E301" s="56" t="s">
        <v>450</v>
      </c>
      <c r="F301" s="56"/>
      <c r="G301" s="102"/>
      <c r="H301" s="69" t="s">
        <v>1645</v>
      </c>
      <c r="I301" s="102"/>
      <c r="J301" s="56"/>
      <c r="K301" s="56"/>
      <c r="L301" s="56"/>
      <c r="M301" s="56"/>
      <c r="N301" s="56"/>
      <c r="O301" s="56"/>
      <c r="P301" s="112"/>
      <c r="Q301" s="112"/>
      <c r="R301" s="71"/>
      <c r="S301" s="71"/>
      <c r="T301" s="56"/>
    </row>
    <row r="302" spans="1:20" s="29" customFormat="1" ht="15.75" customHeight="1" x14ac:dyDescent="0.25">
      <c r="B302" s="56" t="s">
        <v>432</v>
      </c>
      <c r="C302" s="56" t="s">
        <v>475</v>
      </c>
      <c r="D302" s="56" t="s">
        <v>437</v>
      </c>
      <c r="E302" s="56" t="s">
        <v>438</v>
      </c>
      <c r="F302" s="56"/>
      <c r="G302" s="102"/>
      <c r="H302" s="69" t="s">
        <v>1645</v>
      </c>
      <c r="I302" s="102"/>
      <c r="J302" s="56" t="s">
        <v>491</v>
      </c>
      <c r="K302" s="56"/>
      <c r="L302" s="56"/>
      <c r="M302" s="56"/>
      <c r="N302" s="56"/>
      <c r="O302" s="56"/>
      <c r="P302" s="112" t="s">
        <v>491</v>
      </c>
      <c r="Q302" s="112"/>
      <c r="R302" s="71"/>
      <c r="S302" s="71"/>
      <c r="T302" s="56"/>
    </row>
    <row r="303" spans="1:20" s="29" customFormat="1" ht="15.75" customHeight="1" x14ac:dyDescent="0.25">
      <c r="B303" s="56" t="s">
        <v>432</v>
      </c>
      <c r="C303" s="56" t="s">
        <v>475</v>
      </c>
      <c r="D303" s="56" t="s">
        <v>451</v>
      </c>
      <c r="E303" s="56" t="s">
        <v>452</v>
      </c>
      <c r="F303" s="56"/>
      <c r="G303" s="102"/>
      <c r="H303" s="69" t="s">
        <v>1645</v>
      </c>
      <c r="I303" s="102"/>
      <c r="J303" s="56" t="s">
        <v>491</v>
      </c>
      <c r="K303" s="56"/>
      <c r="L303" s="56"/>
      <c r="M303" s="56"/>
      <c r="N303" s="56"/>
      <c r="O303" s="56"/>
      <c r="P303" s="112" t="s">
        <v>491</v>
      </c>
      <c r="Q303" s="112"/>
      <c r="R303" s="71"/>
      <c r="S303" s="71"/>
      <c r="T303" s="56"/>
    </row>
    <row r="304" spans="1:20" s="29" customFormat="1" ht="15.75" customHeight="1" x14ac:dyDescent="0.25">
      <c r="B304" s="56" t="s">
        <v>432</v>
      </c>
      <c r="C304" s="56" t="s">
        <v>475</v>
      </c>
      <c r="D304" s="56" t="s">
        <v>439</v>
      </c>
      <c r="E304" s="56" t="s">
        <v>440</v>
      </c>
      <c r="F304" s="56"/>
      <c r="G304" s="102"/>
      <c r="H304" s="69" t="s">
        <v>1645</v>
      </c>
      <c r="I304" s="102"/>
      <c r="J304" s="56" t="s">
        <v>491</v>
      </c>
      <c r="K304" s="56"/>
      <c r="L304" s="56"/>
      <c r="M304" s="56"/>
      <c r="N304" s="56"/>
      <c r="O304" s="56"/>
      <c r="P304" s="112" t="s">
        <v>491</v>
      </c>
      <c r="Q304" s="112"/>
      <c r="R304" s="71"/>
      <c r="S304" s="71"/>
      <c r="T304" s="56"/>
    </row>
    <row r="305" spans="2:20" s="29" customFormat="1" ht="15.75" customHeight="1" x14ac:dyDescent="0.25">
      <c r="B305" s="56" t="s">
        <v>432</v>
      </c>
      <c r="C305" s="56" t="s">
        <v>475</v>
      </c>
      <c r="D305" s="56" t="s">
        <v>453</v>
      </c>
      <c r="E305" s="56" t="s">
        <v>454</v>
      </c>
      <c r="F305" s="56"/>
      <c r="G305" s="102"/>
      <c r="H305" s="69" t="s">
        <v>1645</v>
      </c>
      <c r="I305" s="102"/>
      <c r="J305" s="56" t="s">
        <v>491</v>
      </c>
      <c r="K305" s="56"/>
      <c r="L305" s="56"/>
      <c r="M305" s="56"/>
      <c r="N305" s="56"/>
      <c r="O305" s="56"/>
      <c r="P305" s="112" t="s">
        <v>491</v>
      </c>
      <c r="Q305" s="112"/>
      <c r="R305" s="71"/>
      <c r="S305" s="71"/>
      <c r="T305" s="56"/>
    </row>
    <row r="306" spans="2:20" s="29" customFormat="1" ht="15.75" customHeight="1" x14ac:dyDescent="0.25">
      <c r="B306" s="56" t="s">
        <v>432</v>
      </c>
      <c r="C306" s="56" t="s">
        <v>475</v>
      </c>
      <c r="D306" s="56" t="s">
        <v>441</v>
      </c>
      <c r="E306" s="56" t="s">
        <v>442</v>
      </c>
      <c r="F306" s="56"/>
      <c r="G306" s="102"/>
      <c r="H306" s="69" t="s">
        <v>1645</v>
      </c>
      <c r="I306" s="102"/>
      <c r="J306" s="56" t="s">
        <v>491</v>
      </c>
      <c r="K306" s="56"/>
      <c r="L306" s="56"/>
      <c r="M306" s="56"/>
      <c r="N306" s="56"/>
      <c r="O306" s="56"/>
      <c r="P306" s="112" t="s">
        <v>491</v>
      </c>
      <c r="Q306" s="112"/>
      <c r="R306" s="71"/>
      <c r="S306" s="71"/>
      <c r="T306" s="56"/>
    </row>
    <row r="307" spans="2:20" s="29" customFormat="1" ht="15.75" customHeight="1" x14ac:dyDescent="0.25">
      <c r="B307" s="56" t="s">
        <v>432</v>
      </c>
      <c r="C307" s="56" t="s">
        <v>475</v>
      </c>
      <c r="D307" s="56" t="s">
        <v>455</v>
      </c>
      <c r="E307" s="56" t="s">
        <v>456</v>
      </c>
      <c r="F307" s="56"/>
      <c r="G307" s="102"/>
      <c r="H307" s="69" t="s">
        <v>1645</v>
      </c>
      <c r="I307" s="102"/>
      <c r="J307" s="56" t="s">
        <v>491</v>
      </c>
      <c r="K307" s="56"/>
      <c r="L307" s="56"/>
      <c r="M307" s="56"/>
      <c r="N307" s="56"/>
      <c r="O307" s="56"/>
      <c r="P307" s="112" t="s">
        <v>491</v>
      </c>
      <c r="Q307" s="112"/>
      <c r="R307" s="71"/>
      <c r="S307" s="71"/>
      <c r="T307" s="56"/>
    </row>
    <row r="308" spans="2:20" s="29" customFormat="1" ht="15.75" customHeight="1" x14ac:dyDescent="0.25">
      <c r="B308" s="56" t="s">
        <v>432</v>
      </c>
      <c r="C308" s="56" t="s">
        <v>475</v>
      </c>
      <c r="D308" s="56" t="s">
        <v>457</v>
      </c>
      <c r="E308" s="56" t="s">
        <v>458</v>
      </c>
      <c r="F308" s="56"/>
      <c r="G308" s="102"/>
      <c r="H308" s="69" t="s">
        <v>1645</v>
      </c>
      <c r="I308" s="102"/>
      <c r="J308" s="56" t="s">
        <v>491</v>
      </c>
      <c r="K308" s="56"/>
      <c r="L308" s="56"/>
      <c r="M308" s="56"/>
      <c r="N308" s="56"/>
      <c r="O308" s="56"/>
      <c r="P308" s="112" t="s">
        <v>491</v>
      </c>
      <c r="Q308" s="112"/>
      <c r="R308" s="71"/>
      <c r="S308" s="71"/>
      <c r="T308" s="56"/>
    </row>
    <row r="309" spans="2:20" s="29" customFormat="1" ht="15.75" customHeight="1" x14ac:dyDescent="0.25">
      <c r="B309" s="56" t="s">
        <v>432</v>
      </c>
      <c r="C309" s="56" t="s">
        <v>475</v>
      </c>
      <c r="D309" s="56" t="s">
        <v>459</v>
      </c>
      <c r="E309" s="56" t="s">
        <v>460</v>
      </c>
      <c r="F309" s="56"/>
      <c r="G309" s="102"/>
      <c r="H309" s="69" t="s">
        <v>1645</v>
      </c>
      <c r="I309" s="102"/>
      <c r="J309" s="56" t="s">
        <v>491</v>
      </c>
      <c r="K309" s="56"/>
      <c r="L309" s="56"/>
      <c r="M309" s="56"/>
      <c r="N309" s="56"/>
      <c r="O309" s="56"/>
      <c r="P309" s="112" t="s">
        <v>491</v>
      </c>
      <c r="Q309" s="112"/>
      <c r="R309" s="71"/>
      <c r="S309" s="71"/>
      <c r="T309" s="56"/>
    </row>
    <row r="310" spans="2:20" s="29" customFormat="1" ht="15.75" customHeight="1" x14ac:dyDescent="0.25">
      <c r="B310" s="56" t="s">
        <v>432</v>
      </c>
      <c r="C310" s="56" t="s">
        <v>475</v>
      </c>
      <c r="D310" s="56" t="s">
        <v>1619</v>
      </c>
      <c r="E310" s="56" t="s">
        <v>1620</v>
      </c>
      <c r="F310" s="56"/>
      <c r="G310" s="102"/>
      <c r="H310" s="69" t="s">
        <v>1645</v>
      </c>
      <c r="I310" s="102"/>
      <c r="J310" s="56"/>
      <c r="K310" s="56"/>
      <c r="L310" s="56"/>
      <c r="M310" s="56"/>
      <c r="N310" s="56"/>
      <c r="O310" s="56"/>
      <c r="P310" s="112"/>
      <c r="Q310" s="112"/>
      <c r="R310" s="71"/>
      <c r="S310" s="71"/>
      <c r="T310" s="56"/>
    </row>
    <row r="311" spans="2:20" s="29" customFormat="1" ht="15.75" customHeight="1" x14ac:dyDescent="0.25">
      <c r="B311" s="56" t="s">
        <v>432</v>
      </c>
      <c r="C311" s="56" t="s">
        <v>475</v>
      </c>
      <c r="D311" s="56" t="s">
        <v>445</v>
      </c>
      <c r="E311" s="56" t="s">
        <v>446</v>
      </c>
      <c r="F311" s="56"/>
      <c r="G311" s="102"/>
      <c r="H311" s="69" t="s">
        <v>1645</v>
      </c>
      <c r="I311" s="102"/>
      <c r="J311" s="56"/>
      <c r="K311" s="56"/>
      <c r="L311" s="56"/>
      <c r="M311" s="56"/>
      <c r="N311" s="56"/>
      <c r="O311" s="56"/>
      <c r="P311" s="112"/>
      <c r="Q311" s="112"/>
      <c r="R311" s="71"/>
      <c r="S311" s="71"/>
      <c r="T311" s="56"/>
    </row>
    <row r="312" spans="2:20" s="29" customFormat="1" ht="15.75" customHeight="1" x14ac:dyDescent="0.25">
      <c r="B312" s="56" t="s">
        <v>432</v>
      </c>
      <c r="C312" s="56" t="s">
        <v>475</v>
      </c>
      <c r="D312" s="56" t="s">
        <v>447</v>
      </c>
      <c r="E312" s="56" t="s">
        <v>448</v>
      </c>
      <c r="F312" s="56"/>
      <c r="G312" s="102"/>
      <c r="H312" s="69" t="s">
        <v>1645</v>
      </c>
      <c r="I312" s="102"/>
      <c r="J312" s="56" t="s">
        <v>491</v>
      </c>
      <c r="K312" s="56"/>
      <c r="L312" s="56"/>
      <c r="M312" s="56"/>
      <c r="N312" s="56"/>
      <c r="O312" s="56"/>
      <c r="P312" s="112" t="s">
        <v>491</v>
      </c>
      <c r="Q312" s="112"/>
      <c r="R312" s="71"/>
      <c r="S312" s="71"/>
      <c r="T312" s="56"/>
    </row>
    <row r="313" spans="2:20" s="29" customFormat="1" ht="15.75" customHeight="1" x14ac:dyDescent="0.25">
      <c r="B313" s="56" t="s">
        <v>432</v>
      </c>
      <c r="C313" s="56" t="s">
        <v>475</v>
      </c>
      <c r="D313" s="56" t="s">
        <v>461</v>
      </c>
      <c r="E313" s="56" t="s">
        <v>462</v>
      </c>
      <c r="F313" s="56"/>
      <c r="G313" s="102"/>
      <c r="H313" s="69" t="s">
        <v>1645</v>
      </c>
      <c r="I313" s="102"/>
      <c r="J313" s="56" t="s">
        <v>491</v>
      </c>
      <c r="K313" s="56"/>
      <c r="L313" s="56"/>
      <c r="M313" s="56"/>
      <c r="N313" s="56"/>
      <c r="O313" s="56"/>
      <c r="P313" s="112" t="s">
        <v>491</v>
      </c>
      <c r="Q313" s="112"/>
      <c r="R313" s="71"/>
      <c r="S313" s="71"/>
      <c r="T313" s="56"/>
    </row>
    <row r="314" spans="2:20" s="29" customFormat="1" ht="15.75" customHeight="1" x14ac:dyDescent="0.25">
      <c r="B314" s="56" t="s">
        <v>432</v>
      </c>
      <c r="C314" s="56" t="s">
        <v>475</v>
      </c>
      <c r="D314" s="56" t="s">
        <v>463</v>
      </c>
      <c r="E314" s="56" t="s">
        <v>464</v>
      </c>
      <c r="F314" s="56"/>
      <c r="G314" s="102"/>
      <c r="H314" s="69" t="s">
        <v>1645</v>
      </c>
      <c r="I314" s="102"/>
      <c r="J314" s="56" t="s">
        <v>491</v>
      </c>
      <c r="K314" s="56"/>
      <c r="L314" s="56"/>
      <c r="M314" s="56"/>
      <c r="N314" s="56"/>
      <c r="O314" s="56"/>
      <c r="P314" s="112" t="s">
        <v>491</v>
      </c>
      <c r="Q314" s="112"/>
      <c r="R314" s="71"/>
      <c r="S314" s="71"/>
      <c r="T314" s="56"/>
    </row>
    <row r="315" spans="2:20" s="29" customFormat="1" ht="15.75" customHeight="1" x14ac:dyDescent="0.25">
      <c r="B315" s="56" t="s">
        <v>432</v>
      </c>
      <c r="C315" s="56" t="s">
        <v>475</v>
      </c>
      <c r="D315" s="56" t="s">
        <v>465</v>
      </c>
      <c r="E315" s="56" t="s">
        <v>466</v>
      </c>
      <c r="F315" s="56"/>
      <c r="G315" s="102"/>
      <c r="H315" s="69" t="s">
        <v>1645</v>
      </c>
      <c r="I315" s="102"/>
      <c r="J315" s="56" t="s">
        <v>491</v>
      </c>
      <c r="K315" s="56"/>
      <c r="L315" s="56"/>
      <c r="M315" s="56"/>
      <c r="N315" s="56"/>
      <c r="O315" s="56"/>
      <c r="P315" s="112" t="s">
        <v>491</v>
      </c>
      <c r="Q315" s="112"/>
      <c r="R315" s="71"/>
      <c r="S315" s="71"/>
      <c r="T315" s="56"/>
    </row>
    <row r="316" spans="2:20" s="29" customFormat="1" ht="15.75" customHeight="1" x14ac:dyDescent="0.25">
      <c r="B316" s="56" t="s">
        <v>432</v>
      </c>
      <c r="C316" s="56" t="s">
        <v>475</v>
      </c>
      <c r="D316" s="56" t="s">
        <v>1621</v>
      </c>
      <c r="E316" s="56" t="s">
        <v>1622</v>
      </c>
      <c r="F316" s="56"/>
      <c r="G316" s="102"/>
      <c r="H316" s="69" t="s">
        <v>1645</v>
      </c>
      <c r="I316" s="102"/>
      <c r="J316" s="56"/>
      <c r="K316" s="56"/>
      <c r="L316" s="56"/>
      <c r="M316" s="56"/>
      <c r="N316" s="56"/>
      <c r="O316" s="56"/>
      <c r="P316" s="112"/>
      <c r="Q316" s="112"/>
      <c r="R316" s="71"/>
      <c r="S316" s="71"/>
      <c r="T316" s="56"/>
    </row>
    <row r="317" spans="2:20" s="29" customFormat="1" ht="15.75" customHeight="1" x14ac:dyDescent="0.25">
      <c r="B317" s="56" t="s">
        <v>432</v>
      </c>
      <c r="C317" s="56" t="s">
        <v>475</v>
      </c>
      <c r="D317" s="56" t="s">
        <v>467</v>
      </c>
      <c r="E317" s="56" t="s">
        <v>468</v>
      </c>
      <c r="F317" s="56"/>
      <c r="G317" s="102"/>
      <c r="H317" s="69" t="s">
        <v>1645</v>
      </c>
      <c r="I317" s="102"/>
      <c r="J317" s="56" t="s">
        <v>491</v>
      </c>
      <c r="K317" s="56"/>
      <c r="L317" s="56"/>
      <c r="M317" s="56"/>
      <c r="N317" s="56"/>
      <c r="O317" s="56"/>
      <c r="P317" s="112" t="s">
        <v>491</v>
      </c>
      <c r="Q317" s="112"/>
      <c r="R317" s="71"/>
      <c r="S317" s="71"/>
      <c r="T317" s="56"/>
    </row>
    <row r="318" spans="2:20" s="29" customFormat="1" ht="15.75" customHeight="1" x14ac:dyDescent="0.25">
      <c r="B318" s="56" t="s">
        <v>432</v>
      </c>
      <c r="C318" s="56" t="s">
        <v>475</v>
      </c>
      <c r="D318" s="56" t="s">
        <v>469</v>
      </c>
      <c r="E318" s="56" t="s">
        <v>470</v>
      </c>
      <c r="F318" s="56"/>
      <c r="G318" s="102"/>
      <c r="H318" s="69" t="s">
        <v>1645</v>
      </c>
      <c r="I318" s="102"/>
      <c r="J318" s="56" t="s">
        <v>491</v>
      </c>
      <c r="K318" s="56"/>
      <c r="L318" s="56"/>
      <c r="M318" s="56"/>
      <c r="N318" s="56"/>
      <c r="O318" s="56"/>
      <c r="P318" s="112" t="s">
        <v>491</v>
      </c>
      <c r="Q318" s="112"/>
      <c r="R318" s="71"/>
      <c r="S318" s="71"/>
      <c r="T318" s="56"/>
    </row>
    <row r="319" spans="2:20" s="29" customFormat="1" ht="15.75" customHeight="1" x14ac:dyDescent="0.25">
      <c r="B319" s="56" t="s">
        <v>432</v>
      </c>
      <c r="C319" s="56" t="s">
        <v>475</v>
      </c>
      <c r="D319" s="56" t="s">
        <v>471</v>
      </c>
      <c r="E319" s="56" t="s">
        <v>472</v>
      </c>
      <c r="F319" s="56"/>
      <c r="G319" s="102"/>
      <c r="H319" s="69" t="s">
        <v>1645</v>
      </c>
      <c r="I319" s="102"/>
      <c r="J319" s="56" t="s">
        <v>491</v>
      </c>
      <c r="K319" s="56"/>
      <c r="L319" s="56"/>
      <c r="M319" s="56"/>
      <c r="N319" s="56"/>
      <c r="O319" s="56"/>
      <c r="P319" s="112" t="s">
        <v>491</v>
      </c>
      <c r="Q319" s="112"/>
      <c r="R319" s="71"/>
      <c r="S319" s="71"/>
      <c r="T319" s="56"/>
    </row>
    <row r="320" spans="2:20" s="29" customFormat="1" ht="15.75" customHeight="1" x14ac:dyDescent="0.25">
      <c r="B320" s="56" t="s">
        <v>432</v>
      </c>
      <c r="C320" s="56" t="s">
        <v>475</v>
      </c>
      <c r="D320" s="56" t="s">
        <v>473</v>
      </c>
      <c r="E320" s="56" t="s">
        <v>474</v>
      </c>
      <c r="F320" s="56"/>
      <c r="G320" s="102"/>
      <c r="H320" s="69" t="s">
        <v>1645</v>
      </c>
      <c r="I320" s="102"/>
      <c r="J320" s="56"/>
      <c r="K320" s="56"/>
      <c r="L320" s="56"/>
      <c r="M320" s="56"/>
      <c r="N320" s="56"/>
      <c r="O320" s="56"/>
      <c r="P320" s="112"/>
      <c r="Q320" s="112"/>
      <c r="R320" s="71"/>
      <c r="S320" s="71"/>
      <c r="T320" s="56"/>
    </row>
    <row r="321" spans="2:20" s="29" customFormat="1" ht="15.75" customHeight="1" x14ac:dyDescent="0.25">
      <c r="B321" s="56"/>
      <c r="C321" s="56"/>
      <c r="D321" s="56"/>
      <c r="E321" s="56"/>
      <c r="F321" s="56"/>
      <c r="G321" s="56"/>
      <c r="H321" s="56"/>
      <c r="I321" s="56"/>
      <c r="J321" s="56"/>
      <c r="K321" s="56"/>
      <c r="L321" s="56"/>
      <c r="M321" s="56"/>
      <c r="N321" s="56"/>
      <c r="O321" s="56"/>
      <c r="P321" s="56"/>
      <c r="Q321" s="56"/>
      <c r="R321" s="111"/>
      <c r="S321" s="111"/>
      <c r="T321" s="56"/>
    </row>
    <row r="322" spans="2:20" s="29" customFormat="1" ht="15.75" customHeight="1" x14ac:dyDescent="0.25">
      <c r="B322" s="56"/>
      <c r="C322" s="56"/>
      <c r="D322" s="56"/>
      <c r="E322" s="56"/>
      <c r="F322" s="56"/>
      <c r="G322" s="56"/>
      <c r="H322" s="56"/>
      <c r="I322" s="56"/>
      <c r="J322" s="56"/>
      <c r="K322" s="56"/>
      <c r="L322" s="56"/>
      <c r="M322" s="56"/>
      <c r="N322" s="56"/>
      <c r="O322" s="56"/>
      <c r="P322" s="56"/>
      <c r="Q322" s="56"/>
      <c r="R322" s="110"/>
      <c r="S322" s="111"/>
      <c r="T322" s="56"/>
    </row>
  </sheetData>
  <mergeCells count="16">
    <mergeCell ref="B3:B6"/>
    <mergeCell ref="C3:C6"/>
    <mergeCell ref="D3:D6"/>
    <mergeCell ref="E3:E6"/>
    <mergeCell ref="G3:S4"/>
    <mergeCell ref="M5:M6"/>
    <mergeCell ref="N5:N6"/>
    <mergeCell ref="O5:O6"/>
    <mergeCell ref="P5:P6"/>
    <mergeCell ref="Q5:Q6"/>
    <mergeCell ref="R5:R6"/>
    <mergeCell ref="S5:S6"/>
    <mergeCell ref="G5:I5"/>
    <mergeCell ref="J5:J6"/>
    <mergeCell ref="K5:K6"/>
    <mergeCell ref="L5:L6"/>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W418"/>
  <sheetViews>
    <sheetView zoomScale="70" zoomScaleNormal="70" workbookViewId="0">
      <pane ySplit="6" topLeftCell="A271" activePane="bottomLeft" state="frozen"/>
      <selection activeCell="B3" sqref="B3:J27"/>
      <selection pane="bottomLeft" activeCell="H306" sqref="H306:H326"/>
    </sheetView>
  </sheetViews>
  <sheetFormatPr defaultRowHeight="15.75" x14ac:dyDescent="0.25"/>
  <cols>
    <col min="1" max="1" width="9" style="29"/>
    <col min="2" max="2" width="9.375" style="89" customWidth="1"/>
    <col min="3" max="3" width="24.125" style="89" customWidth="1"/>
    <col min="4" max="4" width="7.625" style="89" customWidth="1"/>
    <col min="5" max="5" width="21.125" style="89" customWidth="1"/>
    <col min="6" max="6" width="5.375" style="89" customWidth="1"/>
    <col min="7" max="7" width="10.25" style="89" customWidth="1"/>
    <col min="8" max="8" width="10" style="89" customWidth="1"/>
    <col min="9" max="9" width="9.75" style="89" customWidth="1"/>
    <col min="10" max="10" width="11.375" style="89" customWidth="1"/>
    <col min="11" max="11" width="16.5" style="109" customWidth="1"/>
    <col min="12" max="12" width="13.5" style="109" customWidth="1"/>
    <col min="13" max="13" width="10.875" style="109" customWidth="1"/>
    <col min="14" max="15" width="17.375" style="109" customWidth="1"/>
    <col min="16" max="16" width="13.5" style="89" customWidth="1"/>
    <col min="17" max="19" width="17.25" style="89" customWidth="1"/>
    <col min="20" max="23" width="9" style="89"/>
  </cols>
  <sheetData>
    <row r="1" spans="1:23" ht="16.5" thickBot="1" x14ac:dyDescent="0.3"/>
    <row r="2" spans="1:23" ht="16.5" thickTop="1" x14ac:dyDescent="0.25">
      <c r="B2" s="244" t="s">
        <v>476</v>
      </c>
      <c r="C2" s="247" t="s">
        <v>477</v>
      </c>
      <c r="D2" s="247" t="s">
        <v>478</v>
      </c>
      <c r="E2" s="250" t="s">
        <v>1631</v>
      </c>
      <c r="F2" s="64"/>
      <c r="G2" s="260" t="s">
        <v>940</v>
      </c>
      <c r="H2" s="261"/>
      <c r="I2" s="261"/>
      <c r="J2" s="261"/>
      <c r="K2" s="261"/>
      <c r="L2" s="261"/>
      <c r="M2" s="261"/>
      <c r="N2" s="261"/>
      <c r="O2" s="261"/>
      <c r="P2" s="261"/>
      <c r="Q2" s="261"/>
      <c r="R2" s="261"/>
      <c r="S2" s="262"/>
    </row>
    <row r="3" spans="1:23" x14ac:dyDescent="0.25">
      <c r="B3" s="245"/>
      <c r="C3" s="248"/>
      <c r="D3" s="248"/>
      <c r="E3" s="251"/>
      <c r="F3" s="64"/>
      <c r="G3" s="276"/>
      <c r="H3" s="277"/>
      <c r="I3" s="277"/>
      <c r="J3" s="277"/>
      <c r="K3" s="277"/>
      <c r="L3" s="277"/>
      <c r="M3" s="277"/>
      <c r="N3" s="277"/>
      <c r="O3" s="277"/>
      <c r="P3" s="277"/>
      <c r="Q3" s="277"/>
      <c r="R3" s="277"/>
      <c r="S3" s="278"/>
    </row>
    <row r="4" spans="1:23" ht="25.5" customHeight="1" x14ac:dyDescent="0.25">
      <c r="B4" s="245"/>
      <c r="C4" s="248"/>
      <c r="D4" s="248"/>
      <c r="E4" s="251"/>
      <c r="F4" s="64"/>
      <c r="G4" s="268" t="s">
        <v>485</v>
      </c>
      <c r="H4" s="269"/>
      <c r="I4" s="270"/>
      <c r="J4" s="258" t="s">
        <v>945</v>
      </c>
      <c r="K4" s="258" t="s">
        <v>687</v>
      </c>
      <c r="L4" s="258" t="s">
        <v>688</v>
      </c>
      <c r="M4" s="258" t="s">
        <v>689</v>
      </c>
      <c r="N4" s="258" t="s">
        <v>690</v>
      </c>
      <c r="O4" s="258" t="s">
        <v>791</v>
      </c>
      <c r="P4" s="271" t="s">
        <v>486</v>
      </c>
      <c r="Q4" s="266" t="s">
        <v>8</v>
      </c>
      <c r="R4" s="266" t="s">
        <v>505</v>
      </c>
      <c r="S4" s="256" t="s">
        <v>6</v>
      </c>
    </row>
    <row r="5" spans="1:23" ht="25.5" customHeight="1" thickBot="1" x14ac:dyDescent="0.3">
      <c r="B5" s="246"/>
      <c r="C5" s="249"/>
      <c r="D5" s="249"/>
      <c r="E5" s="252"/>
      <c r="F5" s="64"/>
      <c r="G5" s="33" t="s">
        <v>487</v>
      </c>
      <c r="H5" s="63" t="s">
        <v>488</v>
      </c>
      <c r="I5" s="63" t="s">
        <v>489</v>
      </c>
      <c r="J5" s="259"/>
      <c r="K5" s="259"/>
      <c r="L5" s="259"/>
      <c r="M5" s="259"/>
      <c r="N5" s="259"/>
      <c r="O5" s="259"/>
      <c r="P5" s="273"/>
      <c r="Q5" s="267"/>
      <c r="R5" s="267"/>
      <c r="S5" s="257"/>
    </row>
    <row r="6" spans="1:23" ht="16.5" thickTop="1" x14ac:dyDescent="0.25"/>
    <row r="7" spans="1:23" s="29" customFormat="1" x14ac:dyDescent="0.25">
      <c r="B7" s="56"/>
      <c r="C7" s="56"/>
      <c r="D7" s="56"/>
      <c r="E7" s="56"/>
      <c r="F7" s="56"/>
      <c r="G7" s="56"/>
      <c r="H7" s="56"/>
      <c r="I7" s="56"/>
      <c r="J7" s="56"/>
      <c r="K7" s="111"/>
      <c r="L7" s="111"/>
      <c r="M7" s="111"/>
      <c r="N7" s="111"/>
      <c r="O7" s="111"/>
      <c r="P7" s="56"/>
      <c r="Q7" s="56"/>
      <c r="R7" s="56"/>
      <c r="S7" s="56"/>
      <c r="T7" s="56"/>
      <c r="U7" s="56"/>
      <c r="V7" s="56"/>
      <c r="W7" s="56"/>
    </row>
    <row r="8" spans="1:23" s="29" customFormat="1" x14ac:dyDescent="0.25">
      <c r="B8" s="56"/>
      <c r="C8" s="56"/>
      <c r="D8" s="56"/>
      <c r="E8" s="56"/>
      <c r="F8" s="56"/>
      <c r="G8" s="56"/>
      <c r="H8" s="56"/>
      <c r="I8" s="56"/>
      <c r="J8" s="56"/>
      <c r="K8" s="111"/>
      <c r="L8" s="111"/>
      <c r="M8" s="111"/>
      <c r="N8" s="111"/>
      <c r="O8" s="111"/>
      <c r="P8" s="56"/>
      <c r="Q8" s="56"/>
      <c r="R8" s="56"/>
      <c r="S8" s="56"/>
      <c r="T8" s="56"/>
      <c r="U8" s="56"/>
      <c r="V8" s="56"/>
      <c r="W8" s="56"/>
    </row>
    <row r="9" spans="1:23" s="29" customFormat="1" x14ac:dyDescent="0.25">
      <c r="A9" s="32"/>
      <c r="B9" s="86" t="s">
        <v>498</v>
      </c>
      <c r="C9" s="56" t="s">
        <v>1641</v>
      </c>
      <c r="D9" s="56" t="s">
        <v>41</v>
      </c>
      <c r="E9" s="86" t="s">
        <v>42</v>
      </c>
      <c r="F9" s="86"/>
      <c r="G9" s="86"/>
      <c r="H9" s="86">
        <v>6</v>
      </c>
      <c r="I9" s="86"/>
      <c r="J9" s="125">
        <v>2017</v>
      </c>
      <c r="K9" s="126" t="s">
        <v>721</v>
      </c>
      <c r="L9" s="126" t="s">
        <v>1355</v>
      </c>
      <c r="M9" s="126" t="s">
        <v>693</v>
      </c>
      <c r="N9" s="126" t="s">
        <v>1356</v>
      </c>
      <c r="O9" s="126" t="s">
        <v>1357</v>
      </c>
      <c r="P9" s="56" t="s">
        <v>1450</v>
      </c>
      <c r="Q9" s="56" t="s">
        <v>1053</v>
      </c>
      <c r="R9" s="56" t="s">
        <v>1567</v>
      </c>
      <c r="S9" s="56"/>
      <c r="T9" s="56"/>
      <c r="U9" s="56"/>
      <c r="V9" s="56"/>
      <c r="W9" s="56"/>
    </row>
    <row r="10" spans="1:23" s="29" customFormat="1" x14ac:dyDescent="0.25">
      <c r="A10" s="32"/>
      <c r="B10" s="56" t="s">
        <v>498</v>
      </c>
      <c r="C10" s="56" t="s">
        <v>1641</v>
      </c>
      <c r="D10" s="56" t="s">
        <v>47</v>
      </c>
      <c r="E10" s="56" t="s">
        <v>48</v>
      </c>
      <c r="F10" s="56"/>
      <c r="G10" s="56">
        <v>2.1</v>
      </c>
      <c r="H10" s="56">
        <v>2.9</v>
      </c>
      <c r="I10" s="56">
        <v>3.5</v>
      </c>
      <c r="J10" s="56">
        <v>2015</v>
      </c>
      <c r="K10" s="111" t="s">
        <v>695</v>
      </c>
      <c r="L10" s="111" t="s">
        <v>696</v>
      </c>
      <c r="M10" s="111" t="s">
        <v>693</v>
      </c>
      <c r="N10" s="111" t="s">
        <v>988</v>
      </c>
      <c r="O10" s="111" t="s">
        <v>1043</v>
      </c>
      <c r="P10" s="56" t="s">
        <v>623</v>
      </c>
      <c r="Q10" s="56" t="s">
        <v>881</v>
      </c>
      <c r="R10" s="56" t="s">
        <v>990</v>
      </c>
      <c r="S10" s="56" t="s">
        <v>508</v>
      </c>
      <c r="T10" s="56"/>
      <c r="U10" s="56"/>
      <c r="V10" s="56"/>
      <c r="W10" s="56"/>
    </row>
    <row r="11" spans="1:23" s="29" customFormat="1" x14ac:dyDescent="0.25">
      <c r="A11" s="32"/>
      <c r="B11" s="86" t="s">
        <v>498</v>
      </c>
      <c r="C11" s="56" t="s">
        <v>1641</v>
      </c>
      <c r="D11" s="56" t="s">
        <v>52</v>
      </c>
      <c r="E11" s="86" t="s">
        <v>53</v>
      </c>
      <c r="F11" s="86"/>
      <c r="G11" s="86"/>
      <c r="H11" s="86">
        <v>2</v>
      </c>
      <c r="I11" s="86"/>
      <c r="J11" s="78">
        <v>2017</v>
      </c>
      <c r="K11" s="56" t="s">
        <v>721</v>
      </c>
      <c r="L11" s="56" t="s">
        <v>1359</v>
      </c>
      <c r="M11" s="56" t="s">
        <v>693</v>
      </c>
      <c r="N11" s="126" t="s">
        <v>1360</v>
      </c>
      <c r="O11" s="126" t="s">
        <v>1361</v>
      </c>
      <c r="P11" s="56" t="s">
        <v>1450</v>
      </c>
      <c r="Q11" s="56" t="s">
        <v>1053</v>
      </c>
      <c r="R11" s="56" t="s">
        <v>1567</v>
      </c>
      <c r="S11" s="56" t="s">
        <v>1363</v>
      </c>
      <c r="T11" s="56"/>
      <c r="U11" s="56"/>
      <c r="V11" s="56"/>
      <c r="W11" s="56"/>
    </row>
    <row r="12" spans="1:23" s="29" customFormat="1" x14ac:dyDescent="0.25">
      <c r="A12" s="32"/>
      <c r="B12" s="86" t="s">
        <v>498</v>
      </c>
      <c r="C12" s="56" t="s">
        <v>1641</v>
      </c>
      <c r="D12" s="56" t="s">
        <v>31</v>
      </c>
      <c r="E12" s="86" t="s">
        <v>32</v>
      </c>
      <c r="F12" s="86"/>
      <c r="G12" s="86">
        <v>1</v>
      </c>
      <c r="H12" s="86">
        <v>13</v>
      </c>
      <c r="I12" s="86">
        <v>22</v>
      </c>
      <c r="J12" s="86">
        <v>2018</v>
      </c>
      <c r="K12" s="86" t="s">
        <v>1545</v>
      </c>
      <c r="L12" s="86" t="s">
        <v>692</v>
      </c>
      <c r="M12" s="86"/>
      <c r="N12" s="86" t="s">
        <v>1547</v>
      </c>
      <c r="O12" s="86">
        <v>2188</v>
      </c>
      <c r="P12" s="86" t="s">
        <v>643</v>
      </c>
      <c r="Q12" s="86" t="s">
        <v>1546</v>
      </c>
      <c r="R12" s="86" t="s">
        <v>1548</v>
      </c>
      <c r="S12" s="86" t="s">
        <v>1549</v>
      </c>
      <c r="T12" s="56"/>
      <c r="U12" s="56"/>
      <c r="V12" s="56"/>
      <c r="W12" s="56"/>
    </row>
    <row r="13" spans="1:23" s="29" customFormat="1" x14ac:dyDescent="0.25">
      <c r="B13" s="86" t="s">
        <v>498</v>
      </c>
      <c r="C13" s="56" t="s">
        <v>1641</v>
      </c>
      <c r="D13" s="56" t="s">
        <v>33</v>
      </c>
      <c r="E13" s="86" t="s">
        <v>34</v>
      </c>
      <c r="F13" s="86"/>
      <c r="G13" s="86">
        <v>0.5</v>
      </c>
      <c r="H13" s="86">
        <v>1.6</v>
      </c>
      <c r="I13" s="86">
        <v>3.2</v>
      </c>
      <c r="J13" s="86">
        <v>2016</v>
      </c>
      <c r="K13" s="126" t="s">
        <v>695</v>
      </c>
      <c r="L13" s="126" t="s">
        <v>696</v>
      </c>
      <c r="M13" s="126" t="s">
        <v>693</v>
      </c>
      <c r="N13" s="126" t="s">
        <v>1296</v>
      </c>
      <c r="O13" s="126" t="s">
        <v>1295</v>
      </c>
      <c r="P13" s="113" t="s">
        <v>1297</v>
      </c>
      <c r="Q13" s="113" t="s">
        <v>845</v>
      </c>
      <c r="R13" s="113" t="s">
        <v>1293</v>
      </c>
      <c r="S13" s="113" t="s">
        <v>508</v>
      </c>
      <c r="T13" s="56"/>
      <c r="U13" s="56"/>
      <c r="V13" s="56"/>
      <c r="W13" s="56"/>
    </row>
    <row r="14" spans="1:23" s="29" customFormat="1" ht="17.25" customHeight="1" x14ac:dyDescent="0.25">
      <c r="B14" s="86" t="s">
        <v>498</v>
      </c>
      <c r="C14" s="56" t="s">
        <v>1641</v>
      </c>
      <c r="D14" s="56" t="s">
        <v>35</v>
      </c>
      <c r="E14" s="86" t="s">
        <v>36</v>
      </c>
      <c r="F14" s="86"/>
      <c r="G14" s="86">
        <v>83.7</v>
      </c>
      <c r="H14" s="86">
        <v>88.8</v>
      </c>
      <c r="I14" s="86">
        <v>93.8</v>
      </c>
      <c r="J14" s="86">
        <v>2017</v>
      </c>
      <c r="K14" s="126"/>
      <c r="L14" s="126"/>
      <c r="M14" s="126" t="s">
        <v>693</v>
      </c>
      <c r="N14" s="56" t="s">
        <v>1386</v>
      </c>
      <c r="O14" s="56" t="s">
        <v>1389</v>
      </c>
      <c r="P14" s="127" t="s">
        <v>19</v>
      </c>
      <c r="Q14" s="113" t="s">
        <v>845</v>
      </c>
      <c r="R14" s="66" t="s">
        <v>1387</v>
      </c>
      <c r="S14" s="113"/>
      <c r="T14" s="56"/>
      <c r="U14" s="56"/>
      <c r="V14" s="56"/>
      <c r="W14" s="56"/>
    </row>
    <row r="15" spans="1:23" s="29" customFormat="1" x14ac:dyDescent="0.25">
      <c r="B15" s="86" t="s">
        <v>498</v>
      </c>
      <c r="C15" s="56" t="s">
        <v>1641</v>
      </c>
      <c r="D15" s="56" t="s">
        <v>37</v>
      </c>
      <c r="E15" s="86" t="s">
        <v>38</v>
      </c>
      <c r="F15" s="86"/>
      <c r="G15" s="86"/>
      <c r="H15" s="86">
        <v>35.9</v>
      </c>
      <c r="I15" s="86"/>
      <c r="J15" s="86">
        <v>2017</v>
      </c>
      <c r="K15" s="56" t="s">
        <v>1391</v>
      </c>
      <c r="L15" s="56" t="s">
        <v>696</v>
      </c>
      <c r="M15" s="56" t="s">
        <v>693</v>
      </c>
      <c r="N15" s="56" t="s">
        <v>1152</v>
      </c>
      <c r="O15" s="126">
        <v>393</v>
      </c>
      <c r="P15" s="113" t="s">
        <v>1062</v>
      </c>
      <c r="Q15" s="113" t="s">
        <v>845</v>
      </c>
      <c r="R15" s="113" t="s">
        <v>1151</v>
      </c>
      <c r="S15" s="113" t="s">
        <v>508</v>
      </c>
      <c r="T15" s="56"/>
      <c r="U15" s="56"/>
      <c r="V15" s="56"/>
      <c r="W15" s="56"/>
    </row>
    <row r="16" spans="1:23" s="29" customFormat="1" x14ac:dyDescent="0.25">
      <c r="B16" s="86" t="s">
        <v>498</v>
      </c>
      <c r="C16" s="56" t="s">
        <v>1641</v>
      </c>
      <c r="D16" s="56" t="s">
        <v>51</v>
      </c>
      <c r="E16" s="86" t="s">
        <v>494</v>
      </c>
      <c r="F16" s="86"/>
      <c r="G16" s="86">
        <v>53</v>
      </c>
      <c r="H16" s="86">
        <v>57</v>
      </c>
      <c r="I16" s="86">
        <v>61</v>
      </c>
      <c r="J16" s="86">
        <v>2013</v>
      </c>
      <c r="K16" s="126" t="s">
        <v>1556</v>
      </c>
      <c r="L16" s="126"/>
      <c r="M16" s="126" t="s">
        <v>693</v>
      </c>
      <c r="N16" s="126" t="s">
        <v>1558</v>
      </c>
      <c r="O16" s="126" t="s">
        <v>1555</v>
      </c>
      <c r="P16" s="113" t="s">
        <v>15</v>
      </c>
      <c r="Q16" s="113" t="s">
        <v>1554</v>
      </c>
      <c r="R16" s="113" t="s">
        <v>1553</v>
      </c>
      <c r="S16" s="113" t="s">
        <v>1557</v>
      </c>
      <c r="T16" s="56"/>
      <c r="U16" s="56"/>
      <c r="V16" s="56"/>
      <c r="W16" s="56"/>
    </row>
    <row r="17" spans="2:23" s="29" customFormat="1" x14ac:dyDescent="0.25">
      <c r="B17" s="86"/>
      <c r="C17" s="86"/>
      <c r="D17" s="56"/>
      <c r="E17" s="86"/>
      <c r="F17" s="86"/>
      <c r="G17" s="86"/>
      <c r="H17" s="86"/>
      <c r="I17" s="86"/>
      <c r="J17" s="86"/>
      <c r="K17" s="126"/>
      <c r="L17" s="126"/>
      <c r="M17" s="126"/>
      <c r="N17" s="126"/>
      <c r="O17" s="126"/>
      <c r="P17" s="113"/>
      <c r="Q17" s="113"/>
      <c r="R17" s="113"/>
      <c r="S17" s="113"/>
      <c r="T17" s="56"/>
      <c r="U17" s="56"/>
      <c r="V17" s="56"/>
      <c r="W17" s="56"/>
    </row>
    <row r="18" spans="2:23" s="29" customFormat="1" x14ac:dyDescent="0.25">
      <c r="B18" s="86"/>
      <c r="C18" s="86"/>
      <c r="D18" s="56"/>
      <c r="E18" s="86"/>
      <c r="F18" s="86"/>
      <c r="G18" s="86"/>
      <c r="H18" s="86"/>
      <c r="I18" s="86"/>
      <c r="J18" s="86"/>
      <c r="K18" s="126"/>
      <c r="L18" s="126"/>
      <c r="M18" s="126"/>
      <c r="N18" s="126"/>
      <c r="O18" s="126"/>
      <c r="P18" s="113"/>
      <c r="Q18" s="113"/>
      <c r="R18" s="113"/>
      <c r="S18" s="113"/>
      <c r="T18" s="56"/>
      <c r="U18" s="56"/>
      <c r="V18" s="56"/>
      <c r="W18" s="56"/>
    </row>
    <row r="19" spans="2:23" s="29" customFormat="1" x14ac:dyDescent="0.25">
      <c r="B19" s="86" t="s">
        <v>498</v>
      </c>
      <c r="C19" s="56" t="s">
        <v>1641</v>
      </c>
      <c r="D19" s="56" t="s">
        <v>29</v>
      </c>
      <c r="E19" s="86" t="s">
        <v>30</v>
      </c>
      <c r="F19" s="86"/>
      <c r="G19" s="86"/>
      <c r="H19" s="69" t="s">
        <v>1645</v>
      </c>
      <c r="I19" s="86"/>
      <c r="J19" s="86"/>
      <c r="K19" s="126"/>
      <c r="L19" s="126"/>
      <c r="M19" s="126"/>
      <c r="N19" s="126"/>
      <c r="O19" s="126"/>
      <c r="P19" s="56"/>
      <c r="Q19" s="56"/>
      <c r="R19" s="56"/>
      <c r="S19" s="56"/>
      <c r="T19" s="56"/>
      <c r="U19" s="56"/>
      <c r="V19" s="56"/>
      <c r="W19" s="56"/>
    </row>
    <row r="20" spans="2:23" s="29" customFormat="1" x14ac:dyDescent="0.25">
      <c r="B20" s="86" t="s">
        <v>498</v>
      </c>
      <c r="C20" s="56" t="s">
        <v>1641</v>
      </c>
      <c r="D20" s="56" t="s">
        <v>43</v>
      </c>
      <c r="E20" s="86" t="s">
        <v>44</v>
      </c>
      <c r="F20" s="86"/>
      <c r="G20" s="86"/>
      <c r="H20" s="69" t="s">
        <v>1645</v>
      </c>
      <c r="I20" s="86"/>
      <c r="J20" s="86"/>
      <c r="K20" s="126"/>
      <c r="L20" s="126"/>
      <c r="M20" s="126"/>
      <c r="N20" s="126"/>
      <c r="O20" s="126"/>
      <c r="P20" s="56"/>
      <c r="Q20" s="56"/>
      <c r="R20" s="56"/>
      <c r="S20" s="56"/>
      <c r="T20" s="56"/>
      <c r="U20" s="56"/>
      <c r="V20" s="56"/>
      <c r="W20" s="56"/>
    </row>
    <row r="21" spans="2:23" s="29" customFormat="1" x14ac:dyDescent="0.25">
      <c r="B21" s="86" t="s">
        <v>498</v>
      </c>
      <c r="C21" s="56" t="s">
        <v>1641</v>
      </c>
      <c r="D21" s="56" t="s">
        <v>45</v>
      </c>
      <c r="E21" s="86" t="s">
        <v>46</v>
      </c>
      <c r="F21" s="86"/>
      <c r="G21" s="86"/>
      <c r="H21" s="69" t="s">
        <v>1645</v>
      </c>
      <c r="I21" s="86"/>
      <c r="J21" s="86"/>
      <c r="K21" s="126"/>
      <c r="L21" s="126"/>
      <c r="M21" s="126"/>
      <c r="N21" s="126"/>
      <c r="O21" s="126"/>
      <c r="P21" s="56"/>
      <c r="Q21" s="56"/>
      <c r="R21" s="56"/>
      <c r="S21" s="56"/>
      <c r="T21" s="56"/>
      <c r="U21" s="56"/>
      <c r="V21" s="56"/>
      <c r="W21" s="56"/>
    </row>
    <row r="22" spans="2:23" s="29" customFormat="1" x14ac:dyDescent="0.25">
      <c r="B22" s="86" t="s">
        <v>498</v>
      </c>
      <c r="C22" s="56" t="s">
        <v>1641</v>
      </c>
      <c r="D22" s="56" t="s">
        <v>1612</v>
      </c>
      <c r="E22" s="56" t="s">
        <v>493</v>
      </c>
      <c r="F22" s="86"/>
      <c r="G22" s="86"/>
      <c r="H22" s="69" t="s">
        <v>1645</v>
      </c>
      <c r="I22" s="86"/>
      <c r="J22" s="86"/>
      <c r="K22" s="126"/>
      <c r="L22" s="126"/>
      <c r="M22" s="126"/>
      <c r="N22" s="126"/>
      <c r="O22" s="126"/>
      <c r="P22" s="56"/>
      <c r="Q22" s="56"/>
      <c r="R22" s="56"/>
      <c r="S22" s="56"/>
      <c r="T22" s="56"/>
      <c r="U22" s="56"/>
      <c r="V22" s="56"/>
      <c r="W22" s="56"/>
    </row>
    <row r="23" spans="2:23" s="29" customFormat="1" x14ac:dyDescent="0.25">
      <c r="B23" s="86" t="s">
        <v>498</v>
      </c>
      <c r="C23" s="56" t="s">
        <v>1641</v>
      </c>
      <c r="D23" s="56" t="s">
        <v>49</v>
      </c>
      <c r="E23" s="86" t="s">
        <v>50</v>
      </c>
      <c r="F23" s="86"/>
      <c r="G23" s="86"/>
      <c r="H23" s="69" t="s">
        <v>1645</v>
      </c>
      <c r="I23" s="86"/>
      <c r="J23" s="86"/>
      <c r="K23" s="126"/>
      <c r="L23" s="126"/>
      <c r="M23" s="126"/>
      <c r="N23" s="126"/>
      <c r="O23" s="126"/>
      <c r="P23" s="56"/>
      <c r="Q23" s="56"/>
      <c r="R23" s="56"/>
      <c r="S23" s="56"/>
      <c r="T23" s="56"/>
      <c r="U23" s="56"/>
      <c r="V23" s="56"/>
      <c r="W23" s="56"/>
    </row>
    <row r="24" spans="2:23" s="29" customFormat="1" x14ac:dyDescent="0.25">
      <c r="B24" s="86" t="s">
        <v>498</v>
      </c>
      <c r="C24" s="56" t="s">
        <v>1641</v>
      </c>
      <c r="D24" s="56" t="s">
        <v>39</v>
      </c>
      <c r="E24" s="86" t="s">
        <v>40</v>
      </c>
      <c r="F24" s="86"/>
      <c r="G24" s="86"/>
      <c r="H24" s="69" t="s">
        <v>1645</v>
      </c>
      <c r="I24" s="86"/>
      <c r="J24" s="86"/>
      <c r="K24" s="126"/>
      <c r="L24" s="126"/>
      <c r="M24" s="126"/>
      <c r="N24" s="126"/>
      <c r="O24" s="126"/>
      <c r="P24" s="56"/>
      <c r="Q24" s="56"/>
      <c r="R24" s="56"/>
      <c r="S24" s="56"/>
      <c r="T24" s="56"/>
      <c r="U24" s="56"/>
      <c r="V24" s="56"/>
      <c r="W24" s="56"/>
    </row>
    <row r="25" spans="2:23" s="29" customFormat="1" x14ac:dyDescent="0.25">
      <c r="B25" s="86" t="s">
        <v>498</v>
      </c>
      <c r="C25" s="56" t="s">
        <v>1641</v>
      </c>
      <c r="D25" s="56" t="s">
        <v>949</v>
      </c>
      <c r="E25" s="86" t="s">
        <v>3</v>
      </c>
      <c r="F25" s="86"/>
      <c r="G25" s="86"/>
      <c r="H25" s="69" t="s">
        <v>1645</v>
      </c>
      <c r="I25" s="86"/>
      <c r="J25" s="86"/>
      <c r="K25" s="126"/>
      <c r="L25" s="126"/>
      <c r="M25" s="126"/>
      <c r="N25" s="126"/>
      <c r="O25" s="126"/>
      <c r="P25" s="56"/>
      <c r="Q25" s="56"/>
      <c r="R25" s="56"/>
      <c r="S25" s="56"/>
      <c r="T25" s="56"/>
      <c r="U25" s="56"/>
      <c r="V25" s="56"/>
      <c r="W25" s="56"/>
    </row>
    <row r="26" spans="2:23" s="29" customFormat="1" x14ac:dyDescent="0.25">
      <c r="B26" s="86"/>
      <c r="C26" s="86"/>
      <c r="D26" s="56"/>
      <c r="E26" s="86"/>
      <c r="F26" s="86"/>
      <c r="G26" s="86"/>
      <c r="H26" s="86"/>
      <c r="I26" s="86"/>
      <c r="J26" s="86"/>
      <c r="K26" s="126"/>
      <c r="L26" s="126"/>
      <c r="M26" s="126"/>
      <c r="N26" s="126"/>
      <c r="O26" s="126"/>
      <c r="P26" s="113"/>
      <c r="Q26" s="113"/>
      <c r="R26" s="113"/>
      <c r="S26" s="113"/>
      <c r="T26" s="56"/>
      <c r="U26" s="56"/>
      <c r="V26" s="56"/>
      <c r="W26" s="56"/>
    </row>
    <row r="27" spans="2:23" s="29" customFormat="1" x14ac:dyDescent="0.25">
      <c r="B27" s="86"/>
      <c r="C27" s="86"/>
      <c r="D27" s="56"/>
      <c r="E27" s="86"/>
      <c r="F27" s="86"/>
      <c r="G27" s="86"/>
      <c r="H27" s="86"/>
      <c r="I27" s="86"/>
      <c r="J27" s="86"/>
      <c r="K27" s="126"/>
      <c r="L27" s="126"/>
      <c r="M27" s="126"/>
      <c r="N27" s="126"/>
      <c r="O27" s="126"/>
      <c r="P27" s="113"/>
      <c r="Q27" s="113"/>
      <c r="R27" s="113"/>
      <c r="S27" s="113"/>
      <c r="T27" s="56"/>
      <c r="U27" s="56"/>
      <c r="V27" s="56"/>
      <c r="W27" s="56"/>
    </row>
    <row r="28" spans="2:23" s="29" customFormat="1" ht="16.5" thickBot="1" x14ac:dyDescent="0.3">
      <c r="B28" s="86"/>
      <c r="C28" s="86"/>
      <c r="D28" s="56"/>
      <c r="E28" s="86"/>
      <c r="F28" s="86"/>
      <c r="G28" s="86"/>
      <c r="H28" s="86"/>
      <c r="I28" s="86"/>
      <c r="J28" s="86"/>
      <c r="K28" s="126"/>
      <c r="L28" s="126"/>
      <c r="M28" s="126"/>
      <c r="N28" s="126"/>
      <c r="O28" s="126"/>
      <c r="P28" s="56"/>
      <c r="Q28" s="56"/>
      <c r="R28" s="56"/>
      <c r="S28" s="56"/>
      <c r="T28" s="56"/>
      <c r="U28" s="56"/>
      <c r="V28" s="56"/>
      <c r="W28" s="56"/>
    </row>
    <row r="29" spans="2:23" s="29" customFormat="1" ht="16.5" thickTop="1" x14ac:dyDescent="0.25">
      <c r="B29" s="128"/>
      <c r="C29" s="128"/>
      <c r="D29" s="74"/>
      <c r="E29" s="128"/>
      <c r="F29" s="128"/>
      <c r="G29" s="128"/>
      <c r="H29" s="128"/>
      <c r="I29" s="128"/>
      <c r="J29" s="128"/>
      <c r="K29" s="129"/>
      <c r="L29" s="129"/>
      <c r="M29" s="129"/>
      <c r="N29" s="129"/>
      <c r="O29" s="129"/>
      <c r="P29" s="74"/>
      <c r="Q29" s="74"/>
      <c r="R29" s="74"/>
      <c r="S29" s="74"/>
      <c r="T29" s="56"/>
      <c r="U29" s="56"/>
      <c r="V29" s="56"/>
      <c r="W29" s="56"/>
    </row>
    <row r="30" spans="2:23" s="29" customFormat="1" x14ac:dyDescent="0.25">
      <c r="B30" s="86" t="s">
        <v>498</v>
      </c>
      <c r="C30" s="86" t="s">
        <v>87</v>
      </c>
      <c r="D30" s="56" t="s">
        <v>119</v>
      </c>
      <c r="E30" s="86" t="s">
        <v>120</v>
      </c>
      <c r="F30" s="86"/>
      <c r="G30" s="86"/>
      <c r="H30" s="86">
        <v>40.1</v>
      </c>
      <c r="I30" s="86"/>
      <c r="J30" s="130" t="s">
        <v>504</v>
      </c>
      <c r="K30" s="131"/>
      <c r="L30" s="131"/>
      <c r="M30" s="131"/>
      <c r="N30" s="131" t="s">
        <v>1044</v>
      </c>
      <c r="O30" s="131"/>
      <c r="P30" s="113" t="s">
        <v>15</v>
      </c>
      <c r="Q30" s="113" t="s">
        <v>846</v>
      </c>
      <c r="R30" s="113" t="s">
        <v>502</v>
      </c>
      <c r="S30" s="113" t="s">
        <v>508</v>
      </c>
      <c r="T30" s="56"/>
      <c r="U30" s="56"/>
      <c r="V30" s="56"/>
      <c r="W30" s="56"/>
    </row>
    <row r="31" spans="2:23" s="29" customFormat="1" x14ac:dyDescent="0.25">
      <c r="B31" s="86" t="s">
        <v>498</v>
      </c>
      <c r="C31" s="86" t="s">
        <v>87</v>
      </c>
      <c r="D31" s="56" t="s">
        <v>93</v>
      </c>
      <c r="E31" s="86" t="s">
        <v>94</v>
      </c>
      <c r="F31" s="86"/>
      <c r="G31" s="86"/>
      <c r="H31" s="86">
        <v>7.7</v>
      </c>
      <c r="I31" s="86"/>
      <c r="J31" s="130">
        <v>2013</v>
      </c>
      <c r="K31" s="131"/>
      <c r="L31" s="131"/>
      <c r="M31" s="131" t="s">
        <v>1159</v>
      </c>
      <c r="N31" s="131" t="s">
        <v>1160</v>
      </c>
      <c r="O31" s="131">
        <v>328</v>
      </c>
      <c r="P31" s="113" t="s">
        <v>15</v>
      </c>
      <c r="Q31" s="113" t="s">
        <v>881</v>
      </c>
      <c r="R31" s="113" t="s">
        <v>1161</v>
      </c>
      <c r="S31" s="113" t="s">
        <v>508</v>
      </c>
      <c r="T31" s="56"/>
      <c r="U31" s="56"/>
      <c r="V31" s="56"/>
      <c r="W31" s="56"/>
    </row>
    <row r="32" spans="2:23" s="29" customFormat="1" x14ac:dyDescent="0.25">
      <c r="B32" s="86" t="s">
        <v>498</v>
      </c>
      <c r="C32" s="86" t="s">
        <v>87</v>
      </c>
      <c r="D32" s="56" t="s">
        <v>135</v>
      </c>
      <c r="E32" s="86" t="s">
        <v>136</v>
      </c>
      <c r="F32" s="86"/>
      <c r="G32" s="86"/>
      <c r="H32" s="86">
        <v>38.9</v>
      </c>
      <c r="I32" s="86"/>
      <c r="J32" s="130">
        <v>2011</v>
      </c>
      <c r="K32" s="131" t="s">
        <v>702</v>
      </c>
      <c r="L32" s="131" t="s">
        <v>692</v>
      </c>
      <c r="M32" s="131" t="s">
        <v>693</v>
      </c>
      <c r="N32" s="131" t="s">
        <v>707</v>
      </c>
      <c r="O32" s="131">
        <v>140</v>
      </c>
      <c r="P32" s="113" t="s">
        <v>15</v>
      </c>
      <c r="Q32" s="113" t="s">
        <v>881</v>
      </c>
      <c r="R32" s="113" t="s">
        <v>625</v>
      </c>
      <c r="S32" s="113" t="s">
        <v>508</v>
      </c>
      <c r="T32" s="56"/>
      <c r="U32" s="56"/>
      <c r="V32" s="56"/>
      <c r="W32" s="56"/>
    </row>
    <row r="33" spans="2:23" s="29" customFormat="1" x14ac:dyDescent="0.25">
      <c r="B33" s="86"/>
      <c r="C33" s="86"/>
      <c r="D33" s="56"/>
      <c r="E33" s="86"/>
      <c r="F33" s="86"/>
      <c r="G33" s="86"/>
      <c r="H33" s="86"/>
      <c r="I33" s="86"/>
      <c r="J33" s="130"/>
      <c r="K33" s="131"/>
      <c r="L33" s="131"/>
      <c r="M33" s="131"/>
      <c r="N33" s="131"/>
      <c r="O33" s="131"/>
      <c r="P33" s="113"/>
      <c r="Q33" s="113"/>
      <c r="R33" s="113"/>
      <c r="S33" s="113"/>
      <c r="T33" s="56"/>
      <c r="U33" s="56"/>
      <c r="V33" s="56"/>
      <c r="W33" s="56"/>
    </row>
    <row r="34" spans="2:23" s="29" customFormat="1" x14ac:dyDescent="0.25">
      <c r="B34" s="86"/>
      <c r="C34" s="86"/>
      <c r="D34" s="56"/>
      <c r="E34" s="86"/>
      <c r="F34" s="86"/>
      <c r="G34" s="86"/>
      <c r="H34" s="86"/>
      <c r="I34" s="86"/>
      <c r="J34" s="130"/>
      <c r="K34" s="131"/>
      <c r="L34" s="131"/>
      <c r="M34" s="131"/>
      <c r="N34" s="131"/>
      <c r="O34" s="131"/>
      <c r="P34" s="113"/>
      <c r="Q34" s="113"/>
      <c r="R34" s="113"/>
      <c r="S34" s="113"/>
      <c r="T34" s="56"/>
      <c r="U34" s="56"/>
      <c r="V34" s="56"/>
      <c r="W34" s="56"/>
    </row>
    <row r="35" spans="2:23" s="29" customFormat="1" x14ac:dyDescent="0.25">
      <c r="B35" s="86" t="s">
        <v>498</v>
      </c>
      <c r="C35" s="86" t="s">
        <v>87</v>
      </c>
      <c r="D35" s="56" t="s">
        <v>99</v>
      </c>
      <c r="E35" s="86" t="s">
        <v>100</v>
      </c>
      <c r="F35" s="86"/>
      <c r="G35" s="86"/>
      <c r="H35" s="69" t="s">
        <v>1645</v>
      </c>
      <c r="I35" s="86"/>
      <c r="J35" s="86"/>
      <c r="K35" s="126"/>
      <c r="L35" s="126"/>
      <c r="M35" s="126"/>
      <c r="N35" s="126"/>
      <c r="O35" s="126"/>
      <c r="P35" s="56"/>
      <c r="Q35" s="56"/>
      <c r="R35" s="56"/>
      <c r="S35" s="56"/>
      <c r="T35" s="56"/>
      <c r="U35" s="56"/>
      <c r="V35" s="56"/>
      <c r="W35" s="56"/>
    </row>
    <row r="36" spans="2:23" s="29" customFormat="1" x14ac:dyDescent="0.25">
      <c r="B36" s="86" t="s">
        <v>498</v>
      </c>
      <c r="C36" s="86" t="s">
        <v>87</v>
      </c>
      <c r="D36" s="56" t="s">
        <v>88</v>
      </c>
      <c r="E36" s="86" t="s">
        <v>89</v>
      </c>
      <c r="F36" s="86"/>
      <c r="G36" s="86"/>
      <c r="H36" s="69" t="s">
        <v>1645</v>
      </c>
      <c r="I36" s="86"/>
      <c r="J36" s="86"/>
      <c r="K36" s="126"/>
      <c r="L36" s="126"/>
      <c r="M36" s="126"/>
      <c r="N36" s="126"/>
      <c r="O36" s="126"/>
      <c r="P36" s="56"/>
      <c r="Q36" s="56"/>
      <c r="R36" s="56"/>
      <c r="S36" s="56"/>
      <c r="T36" s="56"/>
      <c r="U36" s="56"/>
      <c r="V36" s="56"/>
      <c r="W36" s="56"/>
    </row>
    <row r="37" spans="2:23" s="29" customFormat="1" x14ac:dyDescent="0.25">
      <c r="B37" s="86" t="s">
        <v>498</v>
      </c>
      <c r="C37" s="86" t="s">
        <v>87</v>
      </c>
      <c r="D37" s="56" t="s">
        <v>102</v>
      </c>
      <c r="E37" s="86" t="s">
        <v>103</v>
      </c>
      <c r="F37" s="86"/>
      <c r="G37" s="86"/>
      <c r="H37" s="69" t="s">
        <v>1645</v>
      </c>
      <c r="I37" s="86"/>
      <c r="J37" s="86"/>
      <c r="K37" s="126"/>
      <c r="L37" s="126"/>
      <c r="M37" s="126"/>
      <c r="N37" s="126"/>
      <c r="O37" s="126"/>
      <c r="P37" s="56"/>
      <c r="Q37" s="56"/>
      <c r="R37" s="56"/>
      <c r="S37" s="56"/>
      <c r="T37" s="56"/>
      <c r="U37" s="56"/>
      <c r="V37" s="56"/>
      <c r="W37" s="56"/>
    </row>
    <row r="38" spans="2:23" s="29" customFormat="1" x14ac:dyDescent="0.25">
      <c r="B38" s="86" t="s">
        <v>498</v>
      </c>
      <c r="C38" s="86" t="s">
        <v>87</v>
      </c>
      <c r="D38" s="56" t="s">
        <v>90</v>
      </c>
      <c r="E38" s="86" t="s">
        <v>581</v>
      </c>
      <c r="F38" s="86"/>
      <c r="G38" s="86"/>
      <c r="H38" s="69" t="s">
        <v>1645</v>
      </c>
      <c r="I38" s="86"/>
      <c r="J38" s="86"/>
      <c r="K38" s="126"/>
      <c r="L38" s="126"/>
      <c r="M38" s="126"/>
      <c r="N38" s="126"/>
      <c r="O38" s="126"/>
      <c r="P38" s="56"/>
      <c r="Q38" s="56"/>
      <c r="R38" s="56"/>
      <c r="S38" s="56"/>
      <c r="T38" s="56"/>
      <c r="U38" s="56"/>
      <c r="V38" s="56"/>
      <c r="W38" s="56"/>
    </row>
    <row r="39" spans="2:23" s="29" customFormat="1" x14ac:dyDescent="0.25">
      <c r="B39" s="86" t="s">
        <v>498</v>
      </c>
      <c r="C39" s="86" t="s">
        <v>87</v>
      </c>
      <c r="D39" s="56" t="s">
        <v>104</v>
      </c>
      <c r="E39" s="86" t="s">
        <v>105</v>
      </c>
      <c r="F39" s="86"/>
      <c r="G39" s="86"/>
      <c r="H39" s="69" t="s">
        <v>1645</v>
      </c>
      <c r="I39" s="86"/>
      <c r="J39" s="86"/>
      <c r="K39" s="126"/>
      <c r="L39" s="126"/>
      <c r="M39" s="126"/>
      <c r="N39" s="126"/>
      <c r="O39" s="126"/>
      <c r="P39" s="56"/>
      <c r="Q39" s="56"/>
      <c r="R39" s="56"/>
      <c r="S39" s="56"/>
      <c r="T39" s="56"/>
      <c r="U39" s="56"/>
      <c r="V39" s="56"/>
      <c r="W39" s="56"/>
    </row>
    <row r="40" spans="2:23" s="29" customFormat="1" x14ac:dyDescent="0.25">
      <c r="B40" s="86" t="s">
        <v>498</v>
      </c>
      <c r="C40" s="86" t="s">
        <v>87</v>
      </c>
      <c r="D40" s="56" t="s">
        <v>106</v>
      </c>
      <c r="E40" s="86" t="s">
        <v>107</v>
      </c>
      <c r="F40" s="86"/>
      <c r="G40" s="86"/>
      <c r="H40" s="69" t="s">
        <v>1645</v>
      </c>
      <c r="I40" s="86"/>
      <c r="J40" s="86"/>
      <c r="K40" s="126"/>
      <c r="L40" s="126"/>
      <c r="M40" s="126"/>
      <c r="N40" s="126"/>
      <c r="O40" s="126"/>
      <c r="P40" s="56"/>
      <c r="Q40" s="56"/>
      <c r="R40" s="56"/>
      <c r="S40" s="56"/>
      <c r="T40" s="56"/>
      <c r="U40" s="56"/>
      <c r="V40" s="56"/>
      <c r="W40" s="56"/>
    </row>
    <row r="41" spans="2:23" s="29" customFormat="1" x14ac:dyDescent="0.25">
      <c r="B41" s="86" t="s">
        <v>498</v>
      </c>
      <c r="C41" s="86" t="s">
        <v>87</v>
      </c>
      <c r="D41" s="56" t="s">
        <v>108</v>
      </c>
      <c r="E41" s="86" t="s">
        <v>109</v>
      </c>
      <c r="F41" s="86"/>
      <c r="G41" s="86"/>
      <c r="H41" s="69" t="s">
        <v>1645</v>
      </c>
      <c r="I41" s="86"/>
      <c r="J41" s="86"/>
      <c r="K41" s="126"/>
      <c r="L41" s="126"/>
      <c r="M41" s="126"/>
      <c r="N41" s="126"/>
      <c r="O41" s="126"/>
      <c r="P41" s="56"/>
      <c r="Q41" s="56"/>
      <c r="R41" s="56"/>
      <c r="S41" s="56"/>
      <c r="T41" s="56"/>
      <c r="U41" s="56"/>
      <c r="V41" s="56"/>
      <c r="W41" s="56"/>
    </row>
    <row r="42" spans="2:23" s="29" customFormat="1" x14ac:dyDescent="0.25">
      <c r="B42" s="86" t="s">
        <v>498</v>
      </c>
      <c r="C42" s="86" t="s">
        <v>87</v>
      </c>
      <c r="D42" s="56" t="s">
        <v>110</v>
      </c>
      <c r="E42" s="86" t="s">
        <v>495</v>
      </c>
      <c r="F42" s="86"/>
      <c r="G42" s="86"/>
      <c r="H42" s="69" t="s">
        <v>1645</v>
      </c>
      <c r="I42" s="86"/>
      <c r="J42" s="86"/>
      <c r="K42" s="126"/>
      <c r="L42" s="126"/>
      <c r="M42" s="126"/>
      <c r="N42" s="126"/>
      <c r="O42" s="126"/>
      <c r="P42" s="56"/>
      <c r="Q42" s="56"/>
      <c r="R42" s="56"/>
      <c r="S42" s="56"/>
      <c r="T42" s="56"/>
      <c r="U42" s="56"/>
      <c r="V42" s="56"/>
      <c r="W42" s="56"/>
    </row>
    <row r="43" spans="2:23" s="29" customFormat="1" x14ac:dyDescent="0.25">
      <c r="B43" s="86" t="s">
        <v>498</v>
      </c>
      <c r="C43" s="86" t="s">
        <v>87</v>
      </c>
      <c r="D43" s="56" t="s">
        <v>111</v>
      </c>
      <c r="E43" s="86" t="s">
        <v>112</v>
      </c>
      <c r="F43" s="86"/>
      <c r="G43" s="86"/>
      <c r="H43" s="69" t="s">
        <v>1645</v>
      </c>
      <c r="I43" s="86"/>
      <c r="J43" s="86"/>
      <c r="K43" s="126"/>
      <c r="L43" s="126"/>
      <c r="M43" s="126"/>
      <c r="N43" s="126"/>
      <c r="O43" s="126"/>
      <c r="P43" s="56"/>
      <c r="Q43" s="56"/>
      <c r="R43" s="56"/>
      <c r="S43" s="56"/>
      <c r="T43" s="56"/>
      <c r="U43" s="56"/>
      <c r="V43" s="56"/>
      <c r="W43" s="56"/>
    </row>
    <row r="44" spans="2:23" s="29" customFormat="1" x14ac:dyDescent="0.25">
      <c r="B44" s="86" t="s">
        <v>498</v>
      </c>
      <c r="C44" s="86" t="s">
        <v>87</v>
      </c>
      <c r="D44" s="56" t="s">
        <v>113</v>
      </c>
      <c r="E44" s="86" t="s">
        <v>114</v>
      </c>
      <c r="F44" s="86"/>
      <c r="G44" s="86"/>
      <c r="H44" s="69" t="s">
        <v>1645</v>
      </c>
      <c r="I44" s="86"/>
      <c r="J44" s="86"/>
      <c r="K44" s="126"/>
      <c r="L44" s="126"/>
      <c r="M44" s="126"/>
      <c r="N44" s="126"/>
      <c r="O44" s="126"/>
      <c r="P44" s="56"/>
      <c r="Q44" s="56"/>
      <c r="R44" s="56"/>
      <c r="S44" s="56"/>
      <c r="T44" s="56"/>
      <c r="U44" s="56"/>
      <c r="V44" s="56"/>
      <c r="W44" s="56"/>
    </row>
    <row r="45" spans="2:23" s="29" customFormat="1" x14ac:dyDescent="0.25">
      <c r="B45" s="86" t="s">
        <v>498</v>
      </c>
      <c r="C45" s="86" t="s">
        <v>87</v>
      </c>
      <c r="D45" s="56" t="s">
        <v>115</v>
      </c>
      <c r="E45" s="86" t="s">
        <v>116</v>
      </c>
      <c r="F45" s="86"/>
      <c r="G45" s="86"/>
      <c r="H45" s="69" t="s">
        <v>1645</v>
      </c>
      <c r="I45" s="86"/>
      <c r="J45" s="86"/>
      <c r="K45" s="126"/>
      <c r="L45" s="126"/>
      <c r="M45" s="126"/>
      <c r="N45" s="126"/>
      <c r="O45" s="126"/>
      <c r="P45" s="56"/>
      <c r="Q45" s="56"/>
      <c r="R45" s="56"/>
      <c r="S45" s="56"/>
      <c r="T45" s="56"/>
      <c r="U45" s="56"/>
      <c r="V45" s="56"/>
      <c r="W45" s="56"/>
    </row>
    <row r="46" spans="2:23" s="29" customFormat="1" x14ac:dyDescent="0.25">
      <c r="B46" s="86" t="s">
        <v>498</v>
      </c>
      <c r="C46" s="86" t="s">
        <v>87</v>
      </c>
      <c r="D46" s="56" t="s">
        <v>117</v>
      </c>
      <c r="E46" s="86" t="s">
        <v>118</v>
      </c>
      <c r="F46" s="86"/>
      <c r="G46" s="86"/>
      <c r="H46" s="69" t="s">
        <v>1645</v>
      </c>
      <c r="I46" s="86"/>
      <c r="J46" s="86"/>
      <c r="K46" s="126"/>
      <c r="L46" s="126"/>
      <c r="M46" s="126"/>
      <c r="N46" s="126"/>
      <c r="O46" s="126"/>
      <c r="P46" s="56"/>
      <c r="Q46" s="56"/>
      <c r="R46" s="56"/>
      <c r="S46" s="56"/>
      <c r="T46" s="56"/>
      <c r="U46" s="56"/>
      <c r="V46" s="56"/>
      <c r="W46" s="56"/>
    </row>
    <row r="47" spans="2:23" s="29" customFormat="1" x14ac:dyDescent="0.25">
      <c r="B47" s="86" t="s">
        <v>498</v>
      </c>
      <c r="C47" s="86" t="s">
        <v>87</v>
      </c>
      <c r="D47" s="56" t="s">
        <v>121</v>
      </c>
      <c r="E47" s="86" t="s">
        <v>122</v>
      </c>
      <c r="F47" s="86"/>
      <c r="G47" s="86"/>
      <c r="H47" s="69" t="s">
        <v>1645</v>
      </c>
      <c r="I47" s="86"/>
      <c r="J47" s="86"/>
      <c r="K47" s="126"/>
      <c r="L47" s="126"/>
      <c r="M47" s="126"/>
      <c r="N47" s="126"/>
      <c r="O47" s="126"/>
      <c r="P47" s="56"/>
      <c r="Q47" s="56"/>
      <c r="R47" s="56"/>
      <c r="S47" s="56"/>
      <c r="T47" s="56"/>
      <c r="U47" s="56"/>
      <c r="V47" s="56"/>
      <c r="W47" s="56"/>
    </row>
    <row r="48" spans="2:23" s="29" customFormat="1" x14ac:dyDescent="0.25">
      <c r="B48" s="86" t="s">
        <v>498</v>
      </c>
      <c r="C48" s="86" t="s">
        <v>87</v>
      </c>
      <c r="D48" s="56" t="s">
        <v>123</v>
      </c>
      <c r="E48" s="86" t="s">
        <v>124</v>
      </c>
      <c r="F48" s="86"/>
      <c r="G48" s="86"/>
      <c r="H48" s="69" t="s">
        <v>1645</v>
      </c>
      <c r="I48" s="86"/>
      <c r="J48" s="86"/>
      <c r="K48" s="126"/>
      <c r="L48" s="126"/>
      <c r="M48" s="126"/>
      <c r="N48" s="126"/>
      <c r="O48" s="126"/>
      <c r="P48" s="56"/>
      <c r="Q48" s="56"/>
      <c r="R48" s="56"/>
      <c r="S48" s="56"/>
      <c r="T48" s="56"/>
      <c r="U48" s="56"/>
      <c r="V48" s="56"/>
      <c r="W48" s="56"/>
    </row>
    <row r="49" spans="1:23" s="29" customFormat="1" x14ac:dyDescent="0.25">
      <c r="B49" s="86" t="s">
        <v>498</v>
      </c>
      <c r="C49" s="86" t="s">
        <v>87</v>
      </c>
      <c r="D49" s="56" t="s">
        <v>91</v>
      </c>
      <c r="E49" s="86" t="s">
        <v>92</v>
      </c>
      <c r="F49" s="86"/>
      <c r="G49" s="86"/>
      <c r="H49" s="69" t="s">
        <v>1645</v>
      </c>
      <c r="I49" s="86"/>
      <c r="J49" s="86"/>
      <c r="K49" s="126"/>
      <c r="L49" s="126"/>
      <c r="M49" s="126"/>
      <c r="N49" s="126"/>
      <c r="O49" s="126"/>
      <c r="P49" s="56"/>
      <c r="Q49" s="56"/>
      <c r="R49" s="56"/>
      <c r="S49" s="56"/>
      <c r="T49" s="56"/>
      <c r="U49" s="56"/>
      <c r="V49" s="56"/>
      <c r="W49" s="56"/>
    </row>
    <row r="50" spans="1:23" s="29" customFormat="1" x14ac:dyDescent="0.25">
      <c r="B50" s="86" t="s">
        <v>498</v>
      </c>
      <c r="C50" s="86" t="s">
        <v>87</v>
      </c>
      <c r="D50" s="56" t="s">
        <v>125</v>
      </c>
      <c r="E50" s="86" t="s">
        <v>126</v>
      </c>
      <c r="F50" s="86"/>
      <c r="G50" s="86"/>
      <c r="H50" s="69" t="s">
        <v>1645</v>
      </c>
      <c r="I50" s="86"/>
      <c r="J50" s="86"/>
      <c r="K50" s="126"/>
      <c r="L50" s="126"/>
      <c r="M50" s="126"/>
      <c r="N50" s="126"/>
      <c r="O50" s="126"/>
      <c r="P50" s="56"/>
      <c r="Q50" s="56"/>
      <c r="R50" s="56"/>
      <c r="S50" s="56"/>
      <c r="T50" s="56"/>
      <c r="U50" s="56"/>
      <c r="V50" s="56"/>
      <c r="W50" s="56"/>
    </row>
    <row r="51" spans="1:23" s="29" customFormat="1" x14ac:dyDescent="0.25">
      <c r="B51" s="86" t="s">
        <v>498</v>
      </c>
      <c r="C51" s="86" t="s">
        <v>87</v>
      </c>
      <c r="D51" s="56" t="s">
        <v>127</v>
      </c>
      <c r="E51" s="86" t="s">
        <v>128</v>
      </c>
      <c r="F51" s="86"/>
      <c r="G51" s="86"/>
      <c r="H51" s="69" t="s">
        <v>1645</v>
      </c>
      <c r="I51" s="86"/>
      <c r="J51" s="86"/>
      <c r="K51" s="126"/>
      <c r="L51" s="126"/>
      <c r="M51" s="126"/>
      <c r="N51" s="126"/>
      <c r="O51" s="126"/>
      <c r="P51" s="56"/>
      <c r="Q51" s="56"/>
      <c r="R51" s="56"/>
      <c r="S51" s="56"/>
      <c r="T51" s="56"/>
      <c r="U51" s="56"/>
      <c r="V51" s="56"/>
      <c r="W51" s="56"/>
    </row>
    <row r="52" spans="1:23" s="29" customFormat="1" x14ac:dyDescent="0.25">
      <c r="B52" s="86" t="s">
        <v>498</v>
      </c>
      <c r="C52" s="86" t="s">
        <v>87</v>
      </c>
      <c r="D52" s="56" t="s">
        <v>129</v>
      </c>
      <c r="E52" s="86" t="s">
        <v>130</v>
      </c>
      <c r="F52" s="86"/>
      <c r="G52" s="86"/>
      <c r="H52" s="69" t="s">
        <v>1645</v>
      </c>
      <c r="I52" s="86"/>
      <c r="J52" s="86"/>
      <c r="K52" s="126"/>
      <c r="L52" s="126"/>
      <c r="M52" s="126"/>
      <c r="N52" s="126"/>
      <c r="O52" s="126"/>
      <c r="P52" s="56"/>
      <c r="Q52" s="56"/>
      <c r="R52" s="56"/>
      <c r="S52" s="56"/>
      <c r="T52" s="56"/>
      <c r="U52" s="56"/>
      <c r="V52" s="56"/>
      <c r="W52" s="56"/>
    </row>
    <row r="53" spans="1:23" s="29" customFormat="1" x14ac:dyDescent="0.25">
      <c r="B53" s="86" t="s">
        <v>498</v>
      </c>
      <c r="C53" s="86" t="s">
        <v>87</v>
      </c>
      <c r="D53" s="56" t="s">
        <v>131</v>
      </c>
      <c r="E53" s="86" t="s">
        <v>132</v>
      </c>
      <c r="F53" s="86"/>
      <c r="G53" s="86"/>
      <c r="H53" s="69" t="s">
        <v>1645</v>
      </c>
      <c r="I53" s="86"/>
      <c r="J53" s="86"/>
      <c r="K53" s="126"/>
      <c r="L53" s="126"/>
      <c r="M53" s="126"/>
      <c r="N53" s="126"/>
      <c r="O53" s="126"/>
      <c r="P53" s="56"/>
      <c r="Q53" s="56"/>
      <c r="R53" s="56"/>
      <c r="S53" s="56"/>
      <c r="T53" s="56"/>
      <c r="U53" s="56"/>
      <c r="V53" s="56"/>
      <c r="W53" s="56"/>
    </row>
    <row r="54" spans="1:23" s="29" customFormat="1" x14ac:dyDescent="0.25">
      <c r="B54" s="86" t="s">
        <v>498</v>
      </c>
      <c r="C54" s="86" t="s">
        <v>87</v>
      </c>
      <c r="D54" s="56" t="s">
        <v>133</v>
      </c>
      <c r="E54" s="86" t="s">
        <v>134</v>
      </c>
      <c r="F54" s="86"/>
      <c r="G54" s="86"/>
      <c r="H54" s="69" t="s">
        <v>1645</v>
      </c>
      <c r="I54" s="86"/>
      <c r="J54" s="86"/>
      <c r="K54" s="126"/>
      <c r="L54" s="126"/>
      <c r="M54" s="126"/>
      <c r="N54" s="126"/>
      <c r="O54" s="126"/>
      <c r="P54" s="56"/>
      <c r="Q54" s="56"/>
      <c r="R54" s="56"/>
      <c r="S54" s="56"/>
      <c r="T54" s="56"/>
      <c r="U54" s="56"/>
      <c r="V54" s="56"/>
      <c r="W54" s="56"/>
    </row>
    <row r="55" spans="1:23" s="29" customFormat="1" x14ac:dyDescent="0.25">
      <c r="B55" s="86" t="s">
        <v>498</v>
      </c>
      <c r="C55" s="86" t="s">
        <v>87</v>
      </c>
      <c r="D55" s="56" t="s">
        <v>95</v>
      </c>
      <c r="E55" s="86" t="s">
        <v>96</v>
      </c>
      <c r="F55" s="86"/>
      <c r="G55" s="86"/>
      <c r="H55" s="69" t="s">
        <v>1645</v>
      </c>
      <c r="I55" s="86"/>
      <c r="J55" s="86"/>
      <c r="K55" s="126"/>
      <c r="L55" s="126"/>
      <c r="M55" s="126"/>
      <c r="N55" s="126"/>
      <c r="O55" s="126"/>
      <c r="P55" s="56"/>
      <c r="Q55" s="56"/>
      <c r="R55" s="56"/>
      <c r="S55" s="56"/>
      <c r="T55" s="56"/>
      <c r="U55" s="56"/>
      <c r="V55" s="56"/>
      <c r="W55" s="56"/>
    </row>
    <row r="56" spans="1:23" s="29" customFormat="1" x14ac:dyDescent="0.25">
      <c r="B56" s="86" t="s">
        <v>498</v>
      </c>
      <c r="C56" s="86" t="s">
        <v>87</v>
      </c>
      <c r="D56" s="56" t="s">
        <v>97</v>
      </c>
      <c r="E56" s="86" t="s">
        <v>98</v>
      </c>
      <c r="F56" s="86"/>
      <c r="G56" s="86"/>
      <c r="H56" s="69" t="s">
        <v>1645</v>
      </c>
      <c r="I56" s="86"/>
      <c r="J56" s="86"/>
      <c r="K56" s="126"/>
      <c r="L56" s="126"/>
      <c r="M56" s="126"/>
      <c r="N56" s="126"/>
      <c r="O56" s="126"/>
      <c r="P56" s="56"/>
      <c r="Q56" s="56"/>
      <c r="R56" s="56"/>
      <c r="S56" s="56"/>
      <c r="T56" s="56"/>
      <c r="U56" s="56"/>
      <c r="V56" s="56"/>
      <c r="W56" s="56"/>
    </row>
    <row r="57" spans="1:23" s="29" customFormat="1" x14ac:dyDescent="0.25">
      <c r="B57" s="86"/>
      <c r="C57" s="86"/>
      <c r="D57" s="56"/>
      <c r="E57" s="86"/>
      <c r="F57" s="86"/>
      <c r="G57" s="86"/>
      <c r="H57" s="86"/>
      <c r="I57" s="86"/>
      <c r="J57" s="86"/>
      <c r="K57" s="126"/>
      <c r="L57" s="126"/>
      <c r="M57" s="126"/>
      <c r="N57" s="126"/>
      <c r="O57" s="126"/>
      <c r="P57" s="56"/>
      <c r="Q57" s="56"/>
      <c r="R57" s="56"/>
      <c r="S57" s="56"/>
      <c r="T57" s="56"/>
      <c r="U57" s="56"/>
      <c r="V57" s="56"/>
      <c r="W57" s="56"/>
    </row>
    <row r="58" spans="1:23" s="29" customFormat="1" ht="16.5" thickBot="1" x14ac:dyDescent="0.3">
      <c r="B58" s="86"/>
      <c r="C58" s="86"/>
      <c r="D58" s="56"/>
      <c r="E58" s="86"/>
      <c r="F58" s="86"/>
      <c r="G58" s="86"/>
      <c r="H58" s="86"/>
      <c r="I58" s="86"/>
      <c r="J58" s="86"/>
      <c r="K58" s="126"/>
      <c r="L58" s="126"/>
      <c r="M58" s="126"/>
      <c r="N58" s="126"/>
      <c r="O58" s="126"/>
      <c r="P58" s="56"/>
      <c r="Q58" s="56"/>
      <c r="R58" s="56"/>
      <c r="S58" s="56"/>
      <c r="T58" s="56"/>
      <c r="U58" s="56"/>
      <c r="V58" s="56"/>
      <c r="W58" s="56"/>
    </row>
    <row r="59" spans="1:23" s="29" customFormat="1" ht="16.5" thickTop="1" x14ac:dyDescent="0.25">
      <c r="B59" s="128"/>
      <c r="C59" s="128"/>
      <c r="D59" s="74"/>
      <c r="E59" s="128"/>
      <c r="F59" s="128"/>
      <c r="G59" s="128"/>
      <c r="H59" s="128"/>
      <c r="I59" s="128"/>
      <c r="J59" s="128"/>
      <c r="K59" s="129"/>
      <c r="L59" s="129"/>
      <c r="M59" s="129"/>
      <c r="N59" s="129"/>
      <c r="O59" s="129"/>
      <c r="P59" s="74"/>
      <c r="Q59" s="74"/>
      <c r="R59" s="74"/>
      <c r="S59" s="74"/>
      <c r="T59" s="56"/>
      <c r="U59" s="56"/>
      <c r="V59" s="56"/>
      <c r="W59" s="56"/>
    </row>
    <row r="60" spans="1:23" s="29" customFormat="1" x14ac:dyDescent="0.25">
      <c r="B60" s="86" t="s">
        <v>498</v>
      </c>
      <c r="C60" s="86" t="s">
        <v>1642</v>
      </c>
      <c r="D60" s="56" t="s">
        <v>82</v>
      </c>
      <c r="E60" s="86" t="s">
        <v>83</v>
      </c>
      <c r="F60" s="86"/>
      <c r="G60" s="86"/>
      <c r="H60" s="86">
        <v>1.8</v>
      </c>
      <c r="I60" s="86"/>
      <c r="J60" s="86">
        <v>2017</v>
      </c>
      <c r="K60" s="126"/>
      <c r="L60" s="126"/>
      <c r="M60" s="126"/>
      <c r="N60" s="126"/>
      <c r="O60" s="126"/>
      <c r="P60" s="111" t="s">
        <v>528</v>
      </c>
      <c r="Q60" s="56"/>
      <c r="R60" s="111" t="s">
        <v>1470</v>
      </c>
      <c r="S60" s="56"/>
      <c r="T60" s="56"/>
      <c r="U60" s="56"/>
      <c r="V60" s="56"/>
      <c r="W60" s="56"/>
    </row>
    <row r="61" spans="1:23" s="29" customFormat="1" x14ac:dyDescent="0.25">
      <c r="B61" s="86" t="s">
        <v>498</v>
      </c>
      <c r="C61" s="86" t="s">
        <v>1642</v>
      </c>
      <c r="D61" s="56" t="s">
        <v>84</v>
      </c>
      <c r="E61" s="86" t="s">
        <v>85</v>
      </c>
      <c r="F61" s="86"/>
      <c r="G61" s="132">
        <v>7</v>
      </c>
      <c r="H61" s="86"/>
      <c r="I61" s="86">
        <v>44.6</v>
      </c>
      <c r="J61" s="86">
        <v>2014</v>
      </c>
      <c r="K61" s="126" t="s">
        <v>702</v>
      </c>
      <c r="L61" s="126" t="s">
        <v>692</v>
      </c>
      <c r="M61" s="126" t="s">
        <v>693</v>
      </c>
      <c r="N61" s="126" t="s">
        <v>1045</v>
      </c>
      <c r="O61" s="126" t="s">
        <v>1173</v>
      </c>
      <c r="P61" s="113" t="s">
        <v>633</v>
      </c>
      <c r="Q61" s="113" t="s">
        <v>881</v>
      </c>
      <c r="R61" s="113" t="s">
        <v>1169</v>
      </c>
      <c r="S61" s="113" t="s">
        <v>1171</v>
      </c>
      <c r="T61" s="56"/>
      <c r="U61" s="56"/>
      <c r="V61" s="56"/>
      <c r="W61" s="56"/>
    </row>
    <row r="62" spans="1:23" s="29" customFormat="1" x14ac:dyDescent="0.25">
      <c r="A62" s="32"/>
      <c r="B62" s="86" t="s">
        <v>498</v>
      </c>
      <c r="C62" s="86" t="s">
        <v>1642</v>
      </c>
      <c r="D62" s="56" t="s">
        <v>70</v>
      </c>
      <c r="E62" s="86" t="s">
        <v>71</v>
      </c>
      <c r="F62" s="86"/>
      <c r="G62" s="86"/>
      <c r="H62" s="86">
        <v>43</v>
      </c>
      <c r="I62" s="86"/>
      <c r="J62" s="125">
        <v>2017</v>
      </c>
      <c r="K62" s="126" t="s">
        <v>691</v>
      </c>
      <c r="L62" s="126" t="s">
        <v>692</v>
      </c>
      <c r="M62" s="126" t="s">
        <v>693</v>
      </c>
      <c r="N62" s="126" t="s">
        <v>1322</v>
      </c>
      <c r="O62" s="126" t="s">
        <v>1323</v>
      </c>
      <c r="P62" s="113" t="s">
        <v>15</v>
      </c>
      <c r="Q62" s="113" t="s">
        <v>1370</v>
      </c>
      <c r="R62" s="113" t="s">
        <v>1369</v>
      </c>
      <c r="S62" s="113" t="s">
        <v>1371</v>
      </c>
      <c r="T62" s="56"/>
      <c r="U62" s="56"/>
      <c r="V62" s="56"/>
      <c r="W62" s="56"/>
    </row>
    <row r="63" spans="1:23" s="29" customFormat="1" x14ac:dyDescent="0.25">
      <c r="A63" s="32"/>
      <c r="B63" s="86"/>
      <c r="C63" s="86"/>
      <c r="D63" s="56"/>
      <c r="E63" s="86"/>
      <c r="F63" s="86"/>
      <c r="G63" s="86"/>
      <c r="H63" s="86"/>
      <c r="I63" s="86"/>
      <c r="J63" s="125"/>
      <c r="K63" s="126"/>
      <c r="L63" s="126"/>
      <c r="M63" s="126"/>
      <c r="N63" s="126"/>
      <c r="O63" s="126"/>
      <c r="P63" s="113"/>
      <c r="Q63" s="113"/>
      <c r="R63" s="113"/>
      <c r="S63" s="113"/>
      <c r="T63" s="56"/>
      <c r="U63" s="56"/>
      <c r="V63" s="56"/>
      <c r="W63" s="56"/>
    </row>
    <row r="64" spans="1:23" s="29" customFormat="1" x14ac:dyDescent="0.25">
      <c r="A64" s="32"/>
      <c r="B64" s="86"/>
      <c r="C64" s="86"/>
      <c r="D64" s="56"/>
      <c r="E64" s="86"/>
      <c r="F64" s="86"/>
      <c r="G64" s="86"/>
      <c r="H64" s="86"/>
      <c r="I64" s="86"/>
      <c r="J64" s="125"/>
      <c r="K64" s="126"/>
      <c r="L64" s="126"/>
      <c r="M64" s="126"/>
      <c r="N64" s="126"/>
      <c r="O64" s="126"/>
      <c r="P64" s="113"/>
      <c r="Q64" s="113"/>
      <c r="R64" s="113"/>
      <c r="S64" s="113"/>
      <c r="T64" s="56"/>
      <c r="U64" s="56"/>
      <c r="V64" s="56"/>
      <c r="W64" s="56"/>
    </row>
    <row r="65" spans="1:23" s="29" customFormat="1" x14ac:dyDescent="0.25">
      <c r="B65" s="86" t="s">
        <v>498</v>
      </c>
      <c r="C65" s="86" t="s">
        <v>1642</v>
      </c>
      <c r="D65" s="56" t="s">
        <v>76</v>
      </c>
      <c r="E65" s="86" t="s">
        <v>77</v>
      </c>
      <c r="F65" s="86"/>
      <c r="G65" s="86"/>
      <c r="H65" s="69" t="s">
        <v>1645</v>
      </c>
      <c r="I65" s="86"/>
      <c r="J65" s="86"/>
      <c r="K65" s="126"/>
      <c r="L65" s="126"/>
      <c r="M65" s="126"/>
      <c r="N65" s="126"/>
      <c r="O65" s="126"/>
      <c r="P65" s="56"/>
      <c r="Q65" s="56"/>
      <c r="R65" s="56"/>
      <c r="S65" s="56"/>
      <c r="T65" s="56"/>
      <c r="U65" s="56"/>
      <c r="V65" s="56"/>
      <c r="W65" s="56"/>
    </row>
    <row r="66" spans="1:23" s="29" customFormat="1" x14ac:dyDescent="0.25">
      <c r="B66" s="86" t="s">
        <v>498</v>
      </c>
      <c r="C66" s="86" t="s">
        <v>1642</v>
      </c>
      <c r="D66" s="56" t="s">
        <v>78</v>
      </c>
      <c r="E66" s="86" t="s">
        <v>79</v>
      </c>
      <c r="F66" s="86"/>
      <c r="G66" s="86"/>
      <c r="H66" s="69" t="s">
        <v>1645</v>
      </c>
      <c r="I66" s="86"/>
      <c r="J66" s="86"/>
      <c r="K66" s="126"/>
      <c r="L66" s="126"/>
      <c r="M66" s="126"/>
      <c r="N66" s="126"/>
      <c r="O66" s="126"/>
      <c r="P66" s="56"/>
      <c r="Q66" s="56"/>
      <c r="R66" s="56"/>
      <c r="S66" s="56"/>
      <c r="T66" s="56"/>
      <c r="U66" s="56"/>
      <c r="V66" s="56"/>
      <c r="W66" s="56"/>
    </row>
    <row r="67" spans="1:23" s="29" customFormat="1" x14ac:dyDescent="0.25">
      <c r="B67" s="86" t="s">
        <v>498</v>
      </c>
      <c r="C67" s="86" t="s">
        <v>1642</v>
      </c>
      <c r="D67" s="56" t="s">
        <v>80</v>
      </c>
      <c r="E67" s="86" t="s">
        <v>81</v>
      </c>
      <c r="F67" s="86"/>
      <c r="G67" s="86"/>
      <c r="H67" s="69" t="s">
        <v>1645</v>
      </c>
      <c r="I67" s="86"/>
      <c r="J67" s="86"/>
      <c r="K67" s="126"/>
      <c r="L67" s="126"/>
      <c r="M67" s="126"/>
      <c r="N67" s="126"/>
      <c r="O67" s="126"/>
      <c r="P67" s="56"/>
      <c r="Q67" s="56"/>
      <c r="R67" s="56"/>
      <c r="S67" s="56"/>
      <c r="T67" s="56"/>
      <c r="U67" s="56"/>
      <c r="V67" s="56"/>
      <c r="W67" s="56"/>
    </row>
    <row r="68" spans="1:23" s="29" customFormat="1" x14ac:dyDescent="0.25">
      <c r="B68" s="86" t="s">
        <v>498</v>
      </c>
      <c r="C68" s="86" t="s">
        <v>1642</v>
      </c>
      <c r="D68" s="56" t="s">
        <v>68</v>
      </c>
      <c r="E68" s="86" t="s">
        <v>69</v>
      </c>
      <c r="F68" s="86"/>
      <c r="G68" s="86"/>
      <c r="H68" s="69" t="s">
        <v>1645</v>
      </c>
      <c r="I68" s="86"/>
      <c r="J68" s="86"/>
      <c r="K68" s="126"/>
      <c r="L68" s="126"/>
      <c r="M68" s="126"/>
      <c r="N68" s="126"/>
      <c r="O68" s="126"/>
      <c r="P68" s="56"/>
      <c r="Q68" s="56"/>
      <c r="R68" s="56"/>
      <c r="S68" s="56"/>
      <c r="T68" s="56"/>
      <c r="U68" s="56"/>
      <c r="V68" s="56"/>
      <c r="W68" s="56"/>
    </row>
    <row r="69" spans="1:23" s="29" customFormat="1" x14ac:dyDescent="0.25">
      <c r="B69" s="86" t="s">
        <v>498</v>
      </c>
      <c r="C69" s="86" t="s">
        <v>1642</v>
      </c>
      <c r="D69" s="56" t="s">
        <v>54</v>
      </c>
      <c r="E69" s="86" t="s">
        <v>55</v>
      </c>
      <c r="F69" s="86"/>
      <c r="G69" s="86"/>
      <c r="H69" s="69" t="s">
        <v>1645</v>
      </c>
      <c r="I69" s="86"/>
      <c r="J69" s="86"/>
      <c r="K69" s="126"/>
      <c r="L69" s="126"/>
      <c r="M69" s="126"/>
      <c r="N69" s="126"/>
      <c r="O69" s="126"/>
      <c r="P69" s="56"/>
      <c r="Q69" s="56"/>
      <c r="R69" s="56"/>
      <c r="S69" s="56"/>
      <c r="T69" s="56"/>
      <c r="U69" s="56"/>
      <c r="V69" s="56"/>
      <c r="W69" s="56"/>
    </row>
    <row r="70" spans="1:23" s="29" customFormat="1" x14ac:dyDescent="0.25">
      <c r="B70" s="86" t="s">
        <v>498</v>
      </c>
      <c r="C70" s="86" t="s">
        <v>1642</v>
      </c>
      <c r="D70" s="56" t="s">
        <v>86</v>
      </c>
      <c r="E70" s="56" t="s">
        <v>1609</v>
      </c>
      <c r="F70" s="86"/>
      <c r="G70" s="86"/>
      <c r="H70" s="69" t="s">
        <v>1645</v>
      </c>
      <c r="I70" s="86"/>
      <c r="J70" s="86"/>
      <c r="K70" s="126"/>
      <c r="L70" s="126"/>
      <c r="M70" s="126"/>
      <c r="N70" s="126"/>
      <c r="O70" s="126"/>
      <c r="P70" s="56"/>
      <c r="Q70" s="56"/>
      <c r="R70" s="56"/>
      <c r="S70" s="56"/>
      <c r="T70" s="56"/>
      <c r="U70" s="56"/>
      <c r="V70" s="56"/>
      <c r="W70" s="56"/>
    </row>
    <row r="71" spans="1:23" s="29" customFormat="1" x14ac:dyDescent="0.25">
      <c r="B71" s="86" t="s">
        <v>498</v>
      </c>
      <c r="C71" s="86" t="s">
        <v>1642</v>
      </c>
      <c r="D71" s="56" t="s">
        <v>72</v>
      </c>
      <c r="E71" s="86" t="s">
        <v>73</v>
      </c>
      <c r="F71" s="86"/>
      <c r="G71" s="86"/>
      <c r="H71" s="69" t="s">
        <v>1645</v>
      </c>
      <c r="I71" s="86"/>
      <c r="J71" s="86"/>
      <c r="K71" s="126"/>
      <c r="L71" s="126"/>
      <c r="M71" s="126"/>
      <c r="N71" s="126"/>
      <c r="O71" s="126"/>
      <c r="P71" s="56"/>
      <c r="Q71" s="56"/>
      <c r="R71" s="56"/>
      <c r="S71" s="56"/>
      <c r="T71" s="56"/>
      <c r="U71" s="56"/>
      <c r="V71" s="56"/>
      <c r="W71" s="56"/>
    </row>
    <row r="72" spans="1:23" s="29" customFormat="1" x14ac:dyDescent="0.25">
      <c r="B72" s="86" t="s">
        <v>498</v>
      </c>
      <c r="C72" s="86" t="s">
        <v>1642</v>
      </c>
      <c r="D72" s="56" t="s">
        <v>74</v>
      </c>
      <c r="E72" s="86" t="s">
        <v>75</v>
      </c>
      <c r="F72" s="86"/>
      <c r="G72" s="86"/>
      <c r="H72" s="69" t="s">
        <v>1645</v>
      </c>
      <c r="I72" s="86"/>
      <c r="J72" s="86"/>
      <c r="K72" s="126"/>
      <c r="L72" s="126"/>
      <c r="M72" s="126"/>
      <c r="N72" s="126"/>
      <c r="O72" s="126"/>
      <c r="P72" s="56"/>
      <c r="Q72" s="56"/>
      <c r="R72" s="56"/>
      <c r="S72" s="56"/>
      <c r="T72" s="56"/>
      <c r="U72" s="56"/>
      <c r="V72" s="56"/>
      <c r="W72" s="56"/>
    </row>
    <row r="73" spans="1:23" s="29" customFormat="1" x14ac:dyDescent="0.25">
      <c r="A73" s="32"/>
      <c r="B73" s="86"/>
      <c r="C73" s="86"/>
      <c r="D73" s="56"/>
      <c r="E73" s="86"/>
      <c r="F73" s="86"/>
      <c r="G73" s="86"/>
      <c r="H73" s="86"/>
      <c r="I73" s="86"/>
      <c r="J73" s="125"/>
      <c r="K73" s="126"/>
      <c r="L73" s="126"/>
      <c r="M73" s="126"/>
      <c r="N73" s="126"/>
      <c r="O73" s="126"/>
      <c r="P73" s="113"/>
      <c r="Q73" s="113"/>
      <c r="R73" s="113"/>
      <c r="S73" s="113"/>
      <c r="T73" s="56"/>
      <c r="U73" s="56"/>
      <c r="V73" s="56"/>
      <c r="W73" s="56"/>
    </row>
    <row r="74" spans="1:23" s="29" customFormat="1" x14ac:dyDescent="0.25">
      <c r="A74" s="32"/>
      <c r="B74" s="86"/>
      <c r="C74" s="86"/>
      <c r="D74" s="56"/>
      <c r="E74" s="86"/>
      <c r="F74" s="86"/>
      <c r="G74" s="86"/>
      <c r="H74" s="59"/>
      <c r="I74" s="86"/>
      <c r="J74" s="130"/>
      <c r="K74" s="131"/>
      <c r="L74" s="131"/>
      <c r="M74" s="131"/>
      <c r="N74" s="131"/>
      <c r="O74" s="131"/>
      <c r="P74" s="113"/>
      <c r="Q74" s="113"/>
      <c r="R74" s="113"/>
      <c r="S74" s="113"/>
      <c r="T74" s="56"/>
      <c r="U74" s="56"/>
      <c r="V74" s="56"/>
      <c r="W74" s="56"/>
    </row>
    <row r="75" spans="1:23" s="29" customFormat="1" ht="16.5" thickBot="1" x14ac:dyDescent="0.3">
      <c r="B75" s="86"/>
      <c r="C75" s="86"/>
      <c r="D75" s="56"/>
      <c r="E75" s="86"/>
      <c r="F75" s="86"/>
      <c r="G75" s="86"/>
      <c r="H75" s="86"/>
      <c r="I75" s="86"/>
      <c r="J75" s="86"/>
      <c r="K75" s="126"/>
      <c r="L75" s="126"/>
      <c r="M75" s="126"/>
      <c r="N75" s="126"/>
      <c r="O75" s="126"/>
      <c r="P75" s="56"/>
      <c r="Q75" s="56"/>
      <c r="R75" s="56"/>
      <c r="S75" s="56"/>
      <c r="T75" s="56"/>
      <c r="U75" s="56"/>
      <c r="V75" s="56"/>
      <c r="W75" s="56"/>
    </row>
    <row r="76" spans="1:23" s="29" customFormat="1" ht="16.5" thickTop="1" x14ac:dyDescent="0.25">
      <c r="B76" s="128"/>
      <c r="C76" s="128"/>
      <c r="D76" s="74"/>
      <c r="E76" s="128"/>
      <c r="F76" s="128"/>
      <c r="G76" s="128"/>
      <c r="H76" s="128"/>
      <c r="I76" s="128"/>
      <c r="J76" s="128"/>
      <c r="K76" s="129"/>
      <c r="L76" s="129"/>
      <c r="M76" s="129"/>
      <c r="N76" s="129"/>
      <c r="O76" s="129"/>
      <c r="P76" s="74"/>
      <c r="Q76" s="74"/>
      <c r="R76" s="74"/>
      <c r="S76" s="74"/>
      <c r="T76" s="56"/>
      <c r="U76" s="56"/>
      <c r="V76" s="56"/>
      <c r="W76" s="56"/>
    </row>
    <row r="77" spans="1:23" s="29" customFormat="1" x14ac:dyDescent="0.25">
      <c r="B77" s="86" t="s">
        <v>498</v>
      </c>
      <c r="C77" s="86" t="s">
        <v>56</v>
      </c>
      <c r="D77" s="56" t="s">
        <v>57</v>
      </c>
      <c r="E77" s="86" t="s">
        <v>58</v>
      </c>
      <c r="F77" s="86"/>
      <c r="G77" s="86"/>
      <c r="H77" s="86">
        <v>29.3</v>
      </c>
      <c r="I77" s="86"/>
      <c r="J77" s="86">
        <v>2018</v>
      </c>
      <c r="K77" s="126"/>
      <c r="L77" s="126"/>
      <c r="M77" s="126"/>
      <c r="N77" s="126"/>
      <c r="O77" s="126"/>
      <c r="P77" s="111" t="s">
        <v>528</v>
      </c>
      <c r="Q77" s="56"/>
      <c r="R77" s="111" t="s">
        <v>1568</v>
      </c>
      <c r="S77" s="56"/>
      <c r="T77" s="56"/>
      <c r="U77" s="56"/>
      <c r="V77" s="56"/>
      <c r="W77" s="56"/>
    </row>
    <row r="78" spans="1:23" s="29" customFormat="1" x14ac:dyDescent="0.25">
      <c r="B78" s="86" t="s">
        <v>498</v>
      </c>
      <c r="C78" s="86" t="s">
        <v>56</v>
      </c>
      <c r="D78" s="56" t="s">
        <v>59</v>
      </c>
      <c r="E78" s="86" t="s">
        <v>60</v>
      </c>
      <c r="F78" s="86"/>
      <c r="G78" s="86"/>
      <c r="H78" s="86">
        <v>20.5</v>
      </c>
      <c r="I78" s="86"/>
      <c r="J78" s="86">
        <v>2014</v>
      </c>
      <c r="K78" s="126"/>
      <c r="L78" s="126"/>
      <c r="M78" s="126"/>
      <c r="N78" s="126"/>
      <c r="O78" s="126"/>
      <c r="P78" s="113" t="s">
        <v>480</v>
      </c>
      <c r="Q78" s="113" t="s">
        <v>1046</v>
      </c>
      <c r="R78" s="113" t="s">
        <v>1074</v>
      </c>
      <c r="S78" s="113" t="s">
        <v>508</v>
      </c>
      <c r="T78" s="56"/>
      <c r="U78" s="56"/>
      <c r="V78" s="56"/>
      <c r="W78" s="56"/>
    </row>
    <row r="79" spans="1:23" s="29" customFormat="1" ht="15.75" customHeight="1" x14ac:dyDescent="0.25">
      <c r="B79" s="86" t="s">
        <v>498</v>
      </c>
      <c r="C79" s="86" t="s">
        <v>56</v>
      </c>
      <c r="D79" s="56" t="s">
        <v>63</v>
      </c>
      <c r="E79" s="86" t="s">
        <v>1</v>
      </c>
      <c r="F79" s="86"/>
      <c r="G79" s="86">
        <v>90.8</v>
      </c>
      <c r="H79" s="86">
        <v>94.2</v>
      </c>
      <c r="I79" s="86">
        <v>96.7</v>
      </c>
      <c r="J79" s="86">
        <v>2010</v>
      </c>
      <c r="K79" s="126" t="s">
        <v>713</v>
      </c>
      <c r="L79" s="126" t="s">
        <v>696</v>
      </c>
      <c r="M79" s="126" t="s">
        <v>693</v>
      </c>
      <c r="N79" s="126" t="s">
        <v>794</v>
      </c>
      <c r="O79" s="126" t="s">
        <v>795</v>
      </c>
      <c r="P79" s="113" t="s">
        <v>15</v>
      </c>
      <c r="Q79" s="112" t="s">
        <v>881</v>
      </c>
      <c r="R79" s="112" t="s">
        <v>13</v>
      </c>
      <c r="S79" s="112"/>
      <c r="T79" s="56"/>
      <c r="U79" s="56"/>
      <c r="V79" s="56"/>
      <c r="W79" s="56"/>
    </row>
    <row r="80" spans="1:23" s="29" customFormat="1" ht="15.75" customHeight="1" x14ac:dyDescent="0.25">
      <c r="A80" s="32"/>
      <c r="B80" s="86" t="s">
        <v>498</v>
      </c>
      <c r="C80" s="86" t="s">
        <v>56</v>
      </c>
      <c r="D80" s="56" t="s">
        <v>61</v>
      </c>
      <c r="E80" s="86" t="s">
        <v>62</v>
      </c>
      <c r="F80" s="86"/>
      <c r="G80" s="86">
        <v>7.3</v>
      </c>
      <c r="H80" s="86"/>
      <c r="I80" s="86">
        <v>77</v>
      </c>
      <c r="J80" s="125" t="s">
        <v>933</v>
      </c>
      <c r="K80" s="126"/>
      <c r="L80" s="126"/>
      <c r="M80" s="126"/>
      <c r="N80" s="126" t="s">
        <v>1047</v>
      </c>
      <c r="O80" s="126" t="s">
        <v>508</v>
      </c>
      <c r="P80" s="113" t="s">
        <v>934</v>
      </c>
      <c r="Q80" s="112" t="s">
        <v>881</v>
      </c>
      <c r="R80" s="112" t="s">
        <v>480</v>
      </c>
      <c r="S80" s="112" t="s">
        <v>935</v>
      </c>
      <c r="T80" s="56"/>
      <c r="U80" s="56"/>
      <c r="V80" s="56"/>
      <c r="W80" s="56"/>
    </row>
    <row r="81" spans="2:23" s="29" customFormat="1" ht="15.75" customHeight="1" x14ac:dyDescent="0.25">
      <c r="B81" s="86" t="s">
        <v>498</v>
      </c>
      <c r="C81" s="86" t="s">
        <v>56</v>
      </c>
      <c r="D81" s="56" t="s">
        <v>64</v>
      </c>
      <c r="E81" s="86" t="s">
        <v>65</v>
      </c>
      <c r="F81" s="86"/>
      <c r="G81" s="86"/>
      <c r="H81" s="86">
        <v>40</v>
      </c>
      <c r="I81" s="86"/>
      <c r="J81" s="86">
        <v>2016</v>
      </c>
      <c r="K81" s="126"/>
      <c r="L81" s="126"/>
      <c r="M81" s="126"/>
      <c r="N81" s="126"/>
      <c r="O81" s="126"/>
      <c r="P81" s="113" t="s">
        <v>480</v>
      </c>
      <c r="Q81" s="112" t="s">
        <v>1049</v>
      </c>
      <c r="R81" s="112" t="s">
        <v>1075</v>
      </c>
      <c r="S81" s="112"/>
      <c r="T81" s="56"/>
      <c r="U81" s="56"/>
      <c r="V81" s="56"/>
      <c r="W81" s="56"/>
    </row>
    <row r="82" spans="2:23" s="29" customFormat="1" x14ac:dyDescent="0.25">
      <c r="B82" s="86"/>
      <c r="C82" s="86"/>
      <c r="D82" s="56"/>
      <c r="E82" s="86"/>
      <c r="F82" s="86"/>
      <c r="G82" s="86"/>
      <c r="H82" s="86"/>
      <c r="I82" s="86"/>
      <c r="J82" s="86"/>
      <c r="K82" s="126"/>
      <c r="L82" s="126"/>
      <c r="M82" s="126"/>
      <c r="N82" s="126"/>
      <c r="O82" s="126"/>
      <c r="P82" s="56"/>
      <c r="Q82" s="56"/>
      <c r="R82" s="56"/>
      <c r="S82" s="56"/>
      <c r="T82" s="56"/>
      <c r="U82" s="56"/>
      <c r="V82" s="56"/>
      <c r="W82" s="56"/>
    </row>
    <row r="83" spans="2:23" s="29" customFormat="1" x14ac:dyDescent="0.25">
      <c r="B83" s="86"/>
      <c r="C83" s="86"/>
      <c r="D83" s="56"/>
      <c r="E83" s="86"/>
      <c r="F83" s="86"/>
      <c r="G83" s="86"/>
      <c r="H83" s="59"/>
      <c r="I83" s="59"/>
      <c r="J83" s="86"/>
      <c r="K83" s="126"/>
      <c r="L83" s="126"/>
      <c r="M83" s="126"/>
      <c r="N83" s="126"/>
      <c r="O83" s="126"/>
      <c r="P83" s="56"/>
      <c r="Q83" s="56"/>
      <c r="R83" s="56"/>
      <c r="S83" s="56"/>
      <c r="T83" s="56"/>
      <c r="U83" s="56"/>
      <c r="V83" s="56"/>
      <c r="W83" s="56"/>
    </row>
    <row r="84" spans="2:23" s="29" customFormat="1" x14ac:dyDescent="0.25">
      <c r="B84" s="86" t="s">
        <v>498</v>
      </c>
      <c r="C84" s="86" t="s">
        <v>56</v>
      </c>
      <c r="D84" s="56" t="s">
        <v>66</v>
      </c>
      <c r="E84" s="86" t="s">
        <v>67</v>
      </c>
      <c r="F84" s="86"/>
      <c r="G84" s="86"/>
      <c r="H84" s="69" t="s">
        <v>1645</v>
      </c>
      <c r="I84" s="86"/>
      <c r="J84" s="86"/>
      <c r="K84" s="126"/>
      <c r="L84" s="126"/>
      <c r="M84" s="126"/>
      <c r="N84" s="126"/>
      <c r="O84" s="126"/>
      <c r="P84" s="56"/>
      <c r="Q84" s="56"/>
      <c r="R84" s="56"/>
      <c r="S84" s="56"/>
      <c r="T84" s="56"/>
      <c r="U84" s="56"/>
      <c r="V84" s="56"/>
      <c r="W84" s="56"/>
    </row>
    <row r="85" spans="2:23" s="29" customFormat="1" x14ac:dyDescent="0.25">
      <c r="B85" s="86"/>
      <c r="C85" s="86"/>
      <c r="D85" s="56"/>
      <c r="E85" s="86"/>
      <c r="F85" s="86"/>
      <c r="G85" s="86"/>
      <c r="H85" s="86"/>
      <c r="I85" s="86"/>
      <c r="J85" s="86"/>
      <c r="K85" s="126"/>
      <c r="L85" s="126"/>
      <c r="M85" s="126"/>
      <c r="N85" s="126"/>
      <c r="O85" s="126"/>
      <c r="P85" s="56"/>
      <c r="Q85" s="56"/>
      <c r="R85" s="56"/>
      <c r="S85" s="56"/>
      <c r="T85" s="56"/>
      <c r="U85" s="56"/>
      <c r="V85" s="56"/>
      <c r="W85" s="56"/>
    </row>
    <row r="86" spans="2:23" s="29" customFormat="1" x14ac:dyDescent="0.25">
      <c r="B86" s="86"/>
      <c r="C86" s="86"/>
      <c r="D86" s="56"/>
      <c r="E86" s="86"/>
      <c r="F86" s="86"/>
      <c r="G86" s="86"/>
      <c r="H86" s="86"/>
      <c r="I86" s="86"/>
      <c r="J86" s="86"/>
      <c r="K86" s="126"/>
      <c r="L86" s="126"/>
      <c r="M86" s="126"/>
      <c r="N86" s="126"/>
      <c r="O86" s="126"/>
      <c r="P86" s="56"/>
      <c r="Q86" s="56"/>
      <c r="R86" s="56"/>
      <c r="S86" s="56"/>
      <c r="T86" s="56"/>
      <c r="U86" s="56"/>
      <c r="V86" s="56"/>
      <c r="W86" s="56"/>
    </row>
    <row r="87" spans="2:23" s="29" customFormat="1" ht="16.5" thickBot="1" x14ac:dyDescent="0.3">
      <c r="B87" s="86"/>
      <c r="C87" s="86"/>
      <c r="D87" s="56"/>
      <c r="E87" s="86"/>
      <c r="F87" s="86"/>
      <c r="G87" s="86"/>
      <c r="H87" s="86"/>
      <c r="I87" s="86"/>
      <c r="J87" s="86"/>
      <c r="K87" s="126"/>
      <c r="L87" s="126"/>
      <c r="M87" s="126"/>
      <c r="N87" s="126"/>
      <c r="O87" s="126"/>
      <c r="P87" s="56"/>
      <c r="Q87" s="56"/>
      <c r="R87" s="56"/>
      <c r="S87" s="56"/>
      <c r="T87" s="56"/>
      <c r="U87" s="56"/>
      <c r="V87" s="56"/>
      <c r="W87" s="56"/>
    </row>
    <row r="88" spans="2:23" s="29" customFormat="1" ht="16.5" thickTop="1" x14ac:dyDescent="0.25">
      <c r="B88" s="128"/>
      <c r="C88" s="128"/>
      <c r="D88" s="74"/>
      <c r="E88" s="128"/>
      <c r="F88" s="128"/>
      <c r="G88" s="128"/>
      <c r="H88" s="128"/>
      <c r="I88" s="128"/>
      <c r="J88" s="128"/>
      <c r="K88" s="129"/>
      <c r="L88" s="129"/>
      <c r="M88" s="129"/>
      <c r="N88" s="129"/>
      <c r="O88" s="129"/>
      <c r="P88" s="74"/>
      <c r="Q88" s="74"/>
      <c r="R88" s="74"/>
      <c r="S88" s="74"/>
      <c r="T88" s="56"/>
      <c r="U88" s="56"/>
      <c r="V88" s="56"/>
      <c r="W88" s="56"/>
    </row>
    <row r="89" spans="2:23" s="29" customFormat="1" ht="15.75" customHeight="1" x14ac:dyDescent="0.25">
      <c r="B89" s="86" t="s">
        <v>501</v>
      </c>
      <c r="C89" s="86" t="s">
        <v>152</v>
      </c>
      <c r="D89" s="56" t="s">
        <v>153</v>
      </c>
      <c r="E89" s="86" t="s">
        <v>154</v>
      </c>
      <c r="F89" s="86"/>
      <c r="G89" s="86"/>
      <c r="H89" s="86">
        <v>64.2</v>
      </c>
      <c r="I89" s="86"/>
      <c r="J89" s="125" t="s">
        <v>1529</v>
      </c>
      <c r="K89" s="126" t="s">
        <v>695</v>
      </c>
      <c r="L89" s="126" t="s">
        <v>802</v>
      </c>
      <c r="M89" s="126" t="s">
        <v>693</v>
      </c>
      <c r="N89" s="126" t="s">
        <v>1530</v>
      </c>
      <c r="O89" s="126" t="s">
        <v>1533</v>
      </c>
      <c r="P89" s="112" t="s">
        <v>1534</v>
      </c>
      <c r="Q89" s="113" t="s">
        <v>851</v>
      </c>
      <c r="R89" s="71" t="s">
        <v>1584</v>
      </c>
      <c r="S89" s="113" t="s">
        <v>1532</v>
      </c>
      <c r="T89" s="56" t="s">
        <v>508</v>
      </c>
      <c r="U89" s="56"/>
      <c r="V89" s="56"/>
      <c r="W89" s="56"/>
    </row>
    <row r="90" spans="2:23" s="29" customFormat="1" x14ac:dyDescent="0.25">
      <c r="B90" s="86" t="s">
        <v>501</v>
      </c>
      <c r="C90" s="86" t="s">
        <v>152</v>
      </c>
      <c r="D90" s="56" t="s">
        <v>155</v>
      </c>
      <c r="E90" s="86" t="s">
        <v>156</v>
      </c>
      <c r="F90" s="86"/>
      <c r="G90" s="86"/>
      <c r="H90" s="86">
        <v>76.900000000000006</v>
      </c>
      <c r="I90" s="86"/>
      <c r="J90" s="125" t="s">
        <v>1517</v>
      </c>
      <c r="K90" s="126"/>
      <c r="L90" s="133"/>
      <c r="M90" s="126"/>
      <c r="N90" s="126" t="s">
        <v>1518</v>
      </c>
      <c r="O90" s="125">
        <v>600</v>
      </c>
      <c r="P90" s="113" t="s">
        <v>1326</v>
      </c>
      <c r="Q90" s="113" t="s">
        <v>1053</v>
      </c>
      <c r="R90" s="113" t="s">
        <v>1535</v>
      </c>
      <c r="S90" s="113" t="s">
        <v>508</v>
      </c>
      <c r="T90" s="56"/>
      <c r="U90" s="56"/>
      <c r="V90" s="56"/>
      <c r="W90" s="56"/>
    </row>
    <row r="91" spans="2:23" s="29" customFormat="1" ht="15.75" customHeight="1" x14ac:dyDescent="0.25">
      <c r="B91" s="86" t="s">
        <v>501</v>
      </c>
      <c r="C91" s="86" t="s">
        <v>152</v>
      </c>
      <c r="D91" s="56" t="s">
        <v>157</v>
      </c>
      <c r="E91" s="86" t="s">
        <v>158</v>
      </c>
      <c r="F91" s="86"/>
      <c r="G91" s="86">
        <v>38.1</v>
      </c>
      <c r="H91" s="86">
        <v>53.1</v>
      </c>
      <c r="I91" s="132">
        <v>68</v>
      </c>
      <c r="J91" s="130" t="s">
        <v>1193</v>
      </c>
      <c r="K91" s="131"/>
      <c r="L91" s="131"/>
      <c r="M91" s="131"/>
      <c r="N91" s="131" t="s">
        <v>1014</v>
      </c>
      <c r="O91" s="131"/>
      <c r="P91" s="113" t="s">
        <v>15</v>
      </c>
      <c r="Q91" s="113" t="s">
        <v>1053</v>
      </c>
      <c r="R91" s="113" t="s">
        <v>1192</v>
      </c>
      <c r="S91" s="134" t="s">
        <v>1194</v>
      </c>
      <c r="T91" s="56"/>
      <c r="U91" s="56"/>
      <c r="V91" s="56"/>
      <c r="W91" s="56"/>
    </row>
    <row r="92" spans="2:23" s="29" customFormat="1" x14ac:dyDescent="0.25">
      <c r="B92" s="86"/>
      <c r="C92" s="86"/>
      <c r="D92" s="56"/>
      <c r="E92" s="86"/>
      <c r="F92" s="86"/>
      <c r="G92" s="86"/>
      <c r="H92" s="86"/>
      <c r="I92" s="86"/>
      <c r="J92" s="86"/>
      <c r="K92" s="126"/>
      <c r="L92" s="126"/>
      <c r="M92" s="126"/>
      <c r="N92" s="126"/>
      <c r="O92" s="126"/>
      <c r="P92" s="56"/>
      <c r="Q92" s="56"/>
      <c r="R92" s="56"/>
      <c r="S92" s="56"/>
      <c r="T92" s="56"/>
      <c r="U92" s="56"/>
      <c r="V92" s="56"/>
      <c r="W92" s="56"/>
    </row>
    <row r="93" spans="2:23" s="29" customFormat="1" x14ac:dyDescent="0.25">
      <c r="B93" s="86"/>
      <c r="C93" s="78"/>
      <c r="D93" s="56"/>
      <c r="E93" s="86"/>
      <c r="F93" s="86"/>
      <c r="G93" s="86"/>
      <c r="H93" s="60"/>
      <c r="I93" s="60"/>
      <c r="J93" s="86"/>
      <c r="K93" s="126"/>
      <c r="L93" s="126"/>
      <c r="M93" s="126"/>
      <c r="N93" s="126"/>
      <c r="O93" s="126"/>
      <c r="P93" s="56"/>
      <c r="Q93" s="56"/>
      <c r="R93" s="56"/>
      <c r="S93" s="56"/>
      <c r="T93" s="56"/>
      <c r="U93" s="56"/>
      <c r="V93" s="56"/>
      <c r="W93" s="56"/>
    </row>
    <row r="94" spans="2:23" s="29" customFormat="1" x14ac:dyDescent="0.25">
      <c r="B94" s="86" t="s">
        <v>501</v>
      </c>
      <c r="C94" s="86" t="s">
        <v>152</v>
      </c>
      <c r="D94" s="56" t="s">
        <v>194</v>
      </c>
      <c r="E94" s="86" t="s">
        <v>195</v>
      </c>
      <c r="F94" s="86"/>
      <c r="G94" s="86"/>
      <c r="H94" s="69" t="s">
        <v>1645</v>
      </c>
      <c r="I94" s="86"/>
      <c r="J94" s="86"/>
      <c r="K94" s="126"/>
      <c r="L94" s="126"/>
      <c r="M94" s="126"/>
      <c r="N94" s="126"/>
      <c r="O94" s="126"/>
      <c r="P94" s="56"/>
      <c r="Q94" s="56"/>
      <c r="R94" s="56"/>
      <c r="S94" s="56"/>
      <c r="T94" s="56"/>
      <c r="U94" s="56"/>
      <c r="V94" s="56"/>
      <c r="W94" s="56"/>
    </row>
    <row r="95" spans="2:23" s="29" customFormat="1" x14ac:dyDescent="0.25">
      <c r="B95" s="86" t="s">
        <v>500</v>
      </c>
      <c r="C95" s="86" t="s">
        <v>152</v>
      </c>
      <c r="D95" s="56" t="s">
        <v>383</v>
      </c>
      <c r="E95" s="86" t="s">
        <v>384</v>
      </c>
      <c r="F95" s="86"/>
      <c r="G95" s="86"/>
      <c r="H95" s="69" t="s">
        <v>1645</v>
      </c>
      <c r="I95" s="86"/>
      <c r="J95" s="86"/>
      <c r="K95" s="126"/>
      <c r="L95" s="126"/>
      <c r="M95" s="126"/>
      <c r="N95" s="126"/>
      <c r="O95" s="126"/>
      <c r="P95" s="113"/>
      <c r="Q95" s="113"/>
      <c r="R95" s="113"/>
      <c r="S95" s="113"/>
      <c r="T95" s="56"/>
      <c r="U95" s="56"/>
      <c r="V95" s="56"/>
      <c r="W95" s="56"/>
    </row>
    <row r="96" spans="2:23" s="29" customFormat="1" x14ac:dyDescent="0.25">
      <c r="B96" s="86"/>
      <c r="C96" s="78"/>
      <c r="D96" s="56"/>
      <c r="E96" s="86"/>
      <c r="F96" s="86"/>
      <c r="G96" s="86"/>
      <c r="H96" s="60"/>
      <c r="I96" s="60"/>
      <c r="J96" s="86"/>
      <c r="K96" s="126"/>
      <c r="L96" s="126"/>
      <c r="M96" s="126"/>
      <c r="N96" s="126"/>
      <c r="O96" s="126"/>
      <c r="P96" s="56"/>
      <c r="Q96" s="56"/>
      <c r="R96" s="56"/>
      <c r="S96" s="56"/>
      <c r="T96" s="56"/>
      <c r="U96" s="56"/>
      <c r="V96" s="56"/>
      <c r="W96" s="56"/>
    </row>
    <row r="97" spans="1:23" s="29" customFormat="1" x14ac:dyDescent="0.25">
      <c r="B97" s="86"/>
      <c r="C97" s="86"/>
      <c r="D97" s="56"/>
      <c r="E97" s="86"/>
      <c r="F97" s="86"/>
      <c r="G97" s="86"/>
      <c r="H97" s="86"/>
      <c r="I97" s="86"/>
      <c r="J97" s="86"/>
      <c r="K97" s="126"/>
      <c r="L97" s="126"/>
      <c r="M97" s="126"/>
      <c r="N97" s="126"/>
      <c r="O97" s="126"/>
      <c r="P97" s="56"/>
      <c r="Q97" s="56"/>
      <c r="R97" s="56"/>
      <c r="S97" s="56"/>
      <c r="T97" s="56"/>
      <c r="U97" s="56"/>
      <c r="V97" s="56"/>
      <c r="W97" s="56"/>
    </row>
    <row r="98" spans="1:23" s="29" customFormat="1" ht="16.5" thickBot="1" x14ac:dyDescent="0.3">
      <c r="B98" s="86"/>
      <c r="C98" s="86"/>
      <c r="D98" s="56"/>
      <c r="E98" s="86"/>
      <c r="F98" s="86"/>
      <c r="G98" s="86"/>
      <c r="H98" s="86"/>
      <c r="I98" s="86"/>
      <c r="J98" s="86"/>
      <c r="K98" s="126"/>
      <c r="L98" s="126"/>
      <c r="M98" s="126"/>
      <c r="N98" s="126"/>
      <c r="O98" s="126"/>
      <c r="P98" s="56"/>
      <c r="Q98" s="56"/>
      <c r="R98" s="56"/>
      <c r="S98" s="56"/>
      <c r="T98" s="56"/>
      <c r="U98" s="56"/>
      <c r="V98" s="56"/>
      <c r="W98" s="56"/>
    </row>
    <row r="99" spans="1:23" s="29" customFormat="1" ht="16.5" thickTop="1" x14ac:dyDescent="0.25">
      <c r="B99" s="128"/>
      <c r="C99" s="128"/>
      <c r="D99" s="74"/>
      <c r="E99" s="128"/>
      <c r="F99" s="128"/>
      <c r="G99" s="128"/>
      <c r="H99" s="61"/>
      <c r="I99" s="61"/>
      <c r="J99" s="128"/>
      <c r="K99" s="129"/>
      <c r="L99" s="129"/>
      <c r="M99" s="129"/>
      <c r="N99" s="129"/>
      <c r="O99" s="129"/>
      <c r="P99" s="74"/>
      <c r="Q99" s="74"/>
      <c r="R99" s="74"/>
      <c r="S99" s="74"/>
      <c r="T99" s="56"/>
      <c r="U99" s="56"/>
      <c r="V99" s="56"/>
      <c r="W99" s="56"/>
    </row>
    <row r="100" spans="1:23" s="29" customFormat="1" x14ac:dyDescent="0.25">
      <c r="A100" s="32"/>
      <c r="B100" s="135" t="s">
        <v>501</v>
      </c>
      <c r="C100" s="135" t="s">
        <v>481</v>
      </c>
      <c r="D100" s="80" t="s">
        <v>190</v>
      </c>
      <c r="E100" s="135" t="s">
        <v>191</v>
      </c>
      <c r="F100" s="135"/>
      <c r="G100" s="135"/>
      <c r="H100" s="60">
        <v>0</v>
      </c>
      <c r="I100" s="60"/>
      <c r="J100" s="135">
        <v>2017</v>
      </c>
      <c r="K100" s="136"/>
      <c r="L100" s="136"/>
      <c r="M100" s="136"/>
      <c r="N100" s="136" t="s">
        <v>697</v>
      </c>
      <c r="O100" s="136"/>
      <c r="P100" s="80" t="s">
        <v>480</v>
      </c>
      <c r="Q100" s="80" t="s">
        <v>745</v>
      </c>
      <c r="R100" s="80" t="s">
        <v>1074</v>
      </c>
      <c r="S100" s="80" t="s">
        <v>508</v>
      </c>
      <c r="T100" s="56"/>
      <c r="U100" s="56"/>
      <c r="V100" s="56"/>
      <c r="W100" s="56"/>
    </row>
    <row r="101" spans="1:23" s="29" customFormat="1" x14ac:dyDescent="0.25">
      <c r="A101" s="32"/>
      <c r="B101" s="135" t="s">
        <v>501</v>
      </c>
      <c r="C101" s="135" t="s">
        <v>481</v>
      </c>
      <c r="D101" s="80" t="s">
        <v>206</v>
      </c>
      <c r="E101" s="135" t="s">
        <v>207</v>
      </c>
      <c r="F101" s="135"/>
      <c r="G101" s="135"/>
      <c r="H101" s="137">
        <v>78.400000000000006</v>
      </c>
      <c r="I101" s="60"/>
      <c r="J101" s="135">
        <v>2015</v>
      </c>
      <c r="K101" s="136" t="s">
        <v>1162</v>
      </c>
      <c r="L101" s="136" t="s">
        <v>692</v>
      </c>
      <c r="M101" s="136" t="s">
        <v>693</v>
      </c>
      <c r="N101" s="136" t="s">
        <v>1163</v>
      </c>
      <c r="O101" s="136" t="s">
        <v>1164</v>
      </c>
      <c r="P101" s="80" t="s">
        <v>1062</v>
      </c>
      <c r="Q101" s="80" t="s">
        <v>1058</v>
      </c>
      <c r="R101" s="80" t="s">
        <v>1165</v>
      </c>
      <c r="S101" s="80" t="s">
        <v>508</v>
      </c>
      <c r="T101" s="56"/>
      <c r="U101" s="56"/>
      <c r="V101" s="56"/>
      <c r="W101" s="56"/>
    </row>
    <row r="102" spans="1:23" s="29" customFormat="1" x14ac:dyDescent="0.25">
      <c r="A102" s="32"/>
      <c r="B102" s="135"/>
      <c r="C102" s="135"/>
      <c r="D102" s="80"/>
      <c r="E102" s="135"/>
      <c r="F102" s="135"/>
      <c r="G102" s="135"/>
      <c r="H102" s="137"/>
      <c r="I102" s="60"/>
      <c r="J102" s="135"/>
      <c r="K102" s="136"/>
      <c r="L102" s="136"/>
      <c r="M102" s="136"/>
      <c r="N102" s="136"/>
      <c r="O102" s="136"/>
      <c r="P102" s="80"/>
      <c r="Q102" s="80"/>
      <c r="R102" s="80"/>
      <c r="S102" s="80"/>
      <c r="T102" s="56"/>
      <c r="U102" s="56"/>
      <c r="V102" s="56"/>
      <c r="W102" s="56"/>
    </row>
    <row r="103" spans="1:23" s="29" customFormat="1" x14ac:dyDescent="0.25">
      <c r="A103" s="32"/>
      <c r="B103" s="135"/>
      <c r="C103" s="135"/>
      <c r="D103" s="80"/>
      <c r="E103" s="135"/>
      <c r="F103" s="135"/>
      <c r="G103" s="135"/>
      <c r="H103" s="137"/>
      <c r="I103" s="60"/>
      <c r="J103" s="135"/>
      <c r="K103" s="136"/>
      <c r="L103" s="136"/>
      <c r="M103" s="136"/>
      <c r="N103" s="136"/>
      <c r="O103" s="136"/>
      <c r="P103" s="80"/>
      <c r="Q103" s="80"/>
      <c r="R103" s="80"/>
      <c r="S103" s="80"/>
      <c r="T103" s="56"/>
      <c r="U103" s="56"/>
      <c r="V103" s="56"/>
      <c r="W103" s="56"/>
    </row>
    <row r="104" spans="1:23" s="29" customFormat="1" x14ac:dyDescent="0.25">
      <c r="B104" s="86" t="s">
        <v>501</v>
      </c>
      <c r="C104" s="86" t="s">
        <v>481</v>
      </c>
      <c r="D104" s="56" t="s">
        <v>218</v>
      </c>
      <c r="E104" s="86" t="s">
        <v>219</v>
      </c>
      <c r="F104" s="86"/>
      <c r="G104" s="86"/>
      <c r="H104" s="69" t="s">
        <v>1645</v>
      </c>
      <c r="I104" s="86"/>
      <c r="J104" s="86"/>
      <c r="K104" s="126"/>
      <c r="L104" s="126"/>
      <c r="M104" s="126"/>
      <c r="N104" s="126"/>
      <c r="O104" s="126"/>
      <c r="P104" s="56"/>
      <c r="Q104" s="56"/>
      <c r="R104" s="56"/>
      <c r="S104" s="56"/>
      <c r="T104" s="56"/>
      <c r="U104" s="56"/>
      <c r="V104" s="56"/>
      <c r="W104" s="56"/>
    </row>
    <row r="105" spans="1:23" s="29" customFormat="1" x14ac:dyDescent="0.25">
      <c r="B105" s="86" t="s">
        <v>501</v>
      </c>
      <c r="C105" s="86" t="s">
        <v>481</v>
      </c>
      <c r="D105" s="56" t="s">
        <v>188</v>
      </c>
      <c r="E105" s="86" t="s">
        <v>189</v>
      </c>
      <c r="F105" s="86"/>
      <c r="G105" s="86"/>
      <c r="H105" s="69" t="s">
        <v>1645</v>
      </c>
      <c r="I105" s="86"/>
      <c r="J105" s="86"/>
      <c r="K105" s="126"/>
      <c r="L105" s="126"/>
      <c r="M105" s="126"/>
      <c r="N105" s="126"/>
      <c r="O105" s="126"/>
      <c r="P105" s="56"/>
      <c r="Q105" s="56"/>
      <c r="R105" s="56"/>
      <c r="S105" s="56"/>
      <c r="T105" s="56"/>
      <c r="U105" s="56"/>
      <c r="V105" s="56"/>
      <c r="W105" s="56"/>
    </row>
    <row r="106" spans="1:23" s="29" customFormat="1" x14ac:dyDescent="0.25">
      <c r="B106" s="86" t="s">
        <v>501</v>
      </c>
      <c r="C106" s="86" t="s">
        <v>481</v>
      </c>
      <c r="D106" s="56" t="s">
        <v>220</v>
      </c>
      <c r="E106" s="86" t="s">
        <v>221</v>
      </c>
      <c r="F106" s="86"/>
      <c r="G106" s="86"/>
      <c r="H106" s="69" t="s">
        <v>1645</v>
      </c>
      <c r="I106" s="86"/>
      <c r="J106" s="86"/>
      <c r="K106" s="126"/>
      <c r="L106" s="126"/>
      <c r="M106" s="126"/>
      <c r="N106" s="126"/>
      <c r="O106" s="126"/>
      <c r="P106" s="56"/>
      <c r="Q106" s="56"/>
      <c r="R106" s="56"/>
      <c r="S106" s="56"/>
      <c r="T106" s="56"/>
      <c r="U106" s="56"/>
      <c r="V106" s="56"/>
      <c r="W106" s="56"/>
    </row>
    <row r="107" spans="1:23" s="29" customFormat="1" x14ac:dyDescent="0.25">
      <c r="B107" s="86" t="s">
        <v>501</v>
      </c>
      <c r="C107" s="86" t="s">
        <v>481</v>
      </c>
      <c r="D107" s="56" t="s">
        <v>192</v>
      </c>
      <c r="E107" s="86" t="s">
        <v>193</v>
      </c>
      <c r="F107" s="86"/>
      <c r="G107" s="86"/>
      <c r="H107" s="69" t="s">
        <v>1645</v>
      </c>
      <c r="I107" s="86"/>
      <c r="J107" s="86"/>
      <c r="K107" s="126"/>
      <c r="L107" s="126"/>
      <c r="M107" s="126"/>
      <c r="N107" s="126"/>
      <c r="O107" s="126"/>
      <c r="P107" s="56"/>
      <c r="Q107" s="56"/>
      <c r="R107" s="56"/>
      <c r="S107" s="56"/>
      <c r="T107" s="56"/>
      <c r="U107" s="56"/>
      <c r="V107" s="56"/>
      <c r="W107" s="56"/>
    </row>
    <row r="108" spans="1:23" s="29" customFormat="1" x14ac:dyDescent="0.25">
      <c r="B108" s="86" t="s">
        <v>501</v>
      </c>
      <c r="C108" s="86" t="s">
        <v>481</v>
      </c>
      <c r="D108" s="56" t="s">
        <v>1626</v>
      </c>
      <c r="E108" s="56" t="s">
        <v>1625</v>
      </c>
      <c r="F108" s="86"/>
      <c r="G108" s="86"/>
      <c r="H108" s="69" t="s">
        <v>1645</v>
      </c>
      <c r="I108" s="86"/>
      <c r="J108" s="86"/>
      <c r="K108" s="126"/>
      <c r="L108" s="126"/>
      <c r="M108" s="126"/>
      <c r="N108" s="126"/>
      <c r="O108" s="126"/>
      <c r="P108" s="56"/>
      <c r="Q108" s="56"/>
      <c r="R108" s="56"/>
      <c r="S108" s="56"/>
      <c r="T108" s="56"/>
      <c r="U108" s="56"/>
      <c r="V108" s="56"/>
      <c r="W108" s="56"/>
    </row>
    <row r="109" spans="1:23" s="29" customFormat="1" x14ac:dyDescent="0.25">
      <c r="B109" s="86" t="s">
        <v>501</v>
      </c>
      <c r="C109" s="86" t="s">
        <v>481</v>
      </c>
      <c r="D109" s="56" t="s">
        <v>222</v>
      </c>
      <c r="E109" s="86" t="s">
        <v>223</v>
      </c>
      <c r="F109" s="86"/>
      <c r="G109" s="86"/>
      <c r="H109" s="69" t="s">
        <v>1645</v>
      </c>
      <c r="I109" s="86"/>
      <c r="J109" s="86"/>
      <c r="K109" s="126"/>
      <c r="L109" s="126"/>
      <c r="M109" s="126"/>
      <c r="N109" s="126"/>
      <c r="O109" s="126"/>
      <c r="P109" s="56"/>
      <c r="Q109" s="56"/>
      <c r="R109" s="56"/>
      <c r="S109" s="56"/>
      <c r="T109" s="56"/>
      <c r="U109" s="56"/>
      <c r="V109" s="56"/>
      <c r="W109" s="56"/>
    </row>
    <row r="110" spans="1:23" s="29" customFormat="1" x14ac:dyDescent="0.25">
      <c r="B110" s="86" t="s">
        <v>501</v>
      </c>
      <c r="C110" s="86" t="s">
        <v>481</v>
      </c>
      <c r="D110" s="56" t="s">
        <v>224</v>
      </c>
      <c r="E110" s="86" t="s">
        <v>225</v>
      </c>
      <c r="F110" s="86"/>
      <c r="G110" s="86"/>
      <c r="H110" s="69" t="s">
        <v>1645</v>
      </c>
      <c r="I110" s="86"/>
      <c r="J110" s="86"/>
      <c r="K110" s="126"/>
      <c r="L110" s="126"/>
      <c r="M110" s="126"/>
      <c r="N110" s="126"/>
      <c r="O110" s="126"/>
      <c r="P110" s="56"/>
      <c r="Q110" s="56"/>
      <c r="R110" s="56"/>
      <c r="S110" s="56"/>
      <c r="T110" s="56"/>
      <c r="U110" s="56"/>
      <c r="V110" s="56"/>
      <c r="W110" s="56"/>
    </row>
    <row r="111" spans="1:23" s="29" customFormat="1" x14ac:dyDescent="0.25">
      <c r="B111" s="86" t="s">
        <v>501</v>
      </c>
      <c r="C111" s="86" t="s">
        <v>481</v>
      </c>
      <c r="D111" s="56" t="s">
        <v>226</v>
      </c>
      <c r="E111" s="86" t="s">
        <v>227</v>
      </c>
      <c r="F111" s="86"/>
      <c r="G111" s="86"/>
      <c r="H111" s="69" t="s">
        <v>1645</v>
      </c>
      <c r="I111" s="86"/>
      <c r="J111" s="86"/>
      <c r="K111" s="126"/>
      <c r="L111" s="126"/>
      <c r="M111" s="126"/>
      <c r="N111" s="126"/>
      <c r="O111" s="126"/>
      <c r="P111" s="56"/>
      <c r="Q111" s="56"/>
      <c r="R111" s="56"/>
      <c r="S111" s="56"/>
      <c r="T111" s="56"/>
      <c r="U111" s="56"/>
      <c r="V111" s="56"/>
      <c r="W111" s="56"/>
    </row>
    <row r="112" spans="1:23" s="29" customFormat="1" x14ac:dyDescent="0.25">
      <c r="B112" s="86" t="s">
        <v>501</v>
      </c>
      <c r="C112" s="86" t="s">
        <v>481</v>
      </c>
      <c r="D112" s="56" t="s">
        <v>196</v>
      </c>
      <c r="E112" s="86" t="s">
        <v>197</v>
      </c>
      <c r="F112" s="86"/>
      <c r="G112" s="86"/>
      <c r="H112" s="69" t="s">
        <v>1645</v>
      </c>
      <c r="I112" s="86"/>
      <c r="J112" s="86"/>
      <c r="K112" s="126"/>
      <c r="L112" s="126"/>
      <c r="M112" s="126"/>
      <c r="N112" s="126"/>
      <c r="O112" s="126"/>
      <c r="P112" s="56"/>
      <c r="Q112" s="56"/>
      <c r="R112" s="56"/>
      <c r="S112" s="56"/>
      <c r="T112" s="56"/>
      <c r="U112" s="56"/>
      <c r="V112" s="56"/>
      <c r="W112" s="56"/>
    </row>
    <row r="113" spans="2:23" s="29" customFormat="1" x14ac:dyDescent="0.25">
      <c r="B113" s="86" t="s">
        <v>501</v>
      </c>
      <c r="C113" s="86" t="s">
        <v>481</v>
      </c>
      <c r="D113" s="56" t="s">
        <v>198</v>
      </c>
      <c r="E113" s="86" t="s">
        <v>199</v>
      </c>
      <c r="F113" s="86"/>
      <c r="G113" s="86"/>
      <c r="H113" s="69" t="s">
        <v>1645</v>
      </c>
      <c r="I113" s="86"/>
      <c r="J113" s="86"/>
      <c r="K113" s="126"/>
      <c r="L113" s="126"/>
      <c r="M113" s="126"/>
      <c r="N113" s="126"/>
      <c r="O113" s="126"/>
      <c r="P113" s="56"/>
      <c r="Q113" s="56"/>
      <c r="R113" s="56"/>
      <c r="S113" s="56"/>
      <c r="T113" s="56"/>
      <c r="U113" s="56"/>
      <c r="V113" s="56"/>
      <c r="W113" s="56"/>
    </row>
    <row r="114" spans="2:23" s="29" customFormat="1" x14ac:dyDescent="0.25">
      <c r="B114" s="86" t="s">
        <v>501</v>
      </c>
      <c r="C114" s="86" t="s">
        <v>481</v>
      </c>
      <c r="D114" s="56" t="s">
        <v>200</v>
      </c>
      <c r="E114" s="86" t="s">
        <v>201</v>
      </c>
      <c r="F114" s="86"/>
      <c r="G114" s="86"/>
      <c r="H114" s="69" t="s">
        <v>1645</v>
      </c>
      <c r="I114" s="86"/>
      <c r="J114" s="86"/>
      <c r="K114" s="126"/>
      <c r="L114" s="126"/>
      <c r="M114" s="126"/>
      <c r="N114" s="126"/>
      <c r="O114" s="126"/>
      <c r="P114" s="56"/>
      <c r="Q114" s="56"/>
      <c r="R114" s="56"/>
      <c r="S114" s="56"/>
      <c r="T114" s="56"/>
      <c r="U114" s="56"/>
      <c r="V114" s="56"/>
      <c r="W114" s="56"/>
    </row>
    <row r="115" spans="2:23" s="29" customFormat="1" x14ac:dyDescent="0.25">
      <c r="B115" s="86" t="s">
        <v>501</v>
      </c>
      <c r="C115" s="86" t="s">
        <v>481</v>
      </c>
      <c r="D115" s="56" t="s">
        <v>228</v>
      </c>
      <c r="E115" s="86" t="s">
        <v>229</v>
      </c>
      <c r="F115" s="86"/>
      <c r="G115" s="86"/>
      <c r="H115" s="69" t="s">
        <v>1645</v>
      </c>
      <c r="I115" s="86"/>
      <c r="J115" s="86"/>
      <c r="K115" s="126"/>
      <c r="L115" s="126"/>
      <c r="M115" s="126"/>
      <c r="N115" s="126"/>
      <c r="O115" s="126"/>
      <c r="P115" s="56"/>
      <c r="Q115" s="56"/>
      <c r="R115" s="56"/>
      <c r="S115" s="56"/>
      <c r="T115" s="56"/>
      <c r="U115" s="56"/>
      <c r="V115" s="56"/>
      <c r="W115" s="56"/>
    </row>
    <row r="116" spans="2:23" s="29" customFormat="1" x14ac:dyDescent="0.25">
      <c r="B116" s="86" t="s">
        <v>501</v>
      </c>
      <c r="C116" s="86" t="s">
        <v>481</v>
      </c>
      <c r="D116" s="56" t="s">
        <v>202</v>
      </c>
      <c r="E116" s="86" t="s">
        <v>203</v>
      </c>
      <c r="F116" s="86"/>
      <c r="G116" s="86"/>
      <c r="H116" s="69" t="s">
        <v>1645</v>
      </c>
      <c r="I116" s="86"/>
      <c r="J116" s="86"/>
      <c r="K116" s="126"/>
      <c r="L116" s="126"/>
      <c r="M116" s="126"/>
      <c r="N116" s="126"/>
      <c r="O116" s="126"/>
      <c r="P116" s="56"/>
      <c r="Q116" s="56"/>
      <c r="R116" s="56"/>
      <c r="S116" s="56"/>
      <c r="T116" s="56"/>
      <c r="U116" s="56"/>
      <c r="V116" s="56"/>
      <c r="W116" s="56"/>
    </row>
    <row r="117" spans="2:23" s="29" customFormat="1" x14ac:dyDescent="0.25">
      <c r="B117" s="86" t="s">
        <v>501</v>
      </c>
      <c r="C117" s="86" t="s">
        <v>481</v>
      </c>
      <c r="D117" s="56" t="s">
        <v>204</v>
      </c>
      <c r="E117" s="86" t="s">
        <v>205</v>
      </c>
      <c r="F117" s="86"/>
      <c r="G117" s="86"/>
      <c r="H117" s="69" t="s">
        <v>1645</v>
      </c>
      <c r="I117" s="86"/>
      <c r="J117" s="86"/>
      <c r="K117" s="126"/>
      <c r="L117" s="126"/>
      <c r="M117" s="126"/>
      <c r="N117" s="126"/>
      <c r="O117" s="126"/>
      <c r="P117" s="56"/>
      <c r="Q117" s="56"/>
      <c r="R117" s="56"/>
      <c r="S117" s="56"/>
      <c r="T117" s="56"/>
      <c r="U117" s="56"/>
      <c r="V117" s="56"/>
      <c r="W117" s="56"/>
    </row>
    <row r="118" spans="2:23" s="29" customFormat="1" x14ac:dyDescent="0.25">
      <c r="B118" s="86" t="s">
        <v>501</v>
      </c>
      <c r="C118" s="86" t="s">
        <v>481</v>
      </c>
      <c r="D118" s="56" t="s">
        <v>230</v>
      </c>
      <c r="E118" s="86" t="s">
        <v>231</v>
      </c>
      <c r="F118" s="86"/>
      <c r="G118" s="86"/>
      <c r="H118" s="69" t="s">
        <v>1645</v>
      </c>
      <c r="I118" s="86"/>
      <c r="J118" s="86"/>
      <c r="K118" s="126"/>
      <c r="L118" s="126"/>
      <c r="M118" s="126"/>
      <c r="N118" s="126"/>
      <c r="O118" s="126"/>
      <c r="P118" s="56"/>
      <c r="Q118" s="56"/>
      <c r="R118" s="56"/>
      <c r="S118" s="56"/>
      <c r="T118" s="56"/>
      <c r="U118" s="56"/>
      <c r="V118" s="56"/>
      <c r="W118" s="56"/>
    </row>
    <row r="119" spans="2:23" s="29" customFormat="1" x14ac:dyDescent="0.25">
      <c r="B119" s="86" t="s">
        <v>501</v>
      </c>
      <c r="C119" s="86" t="s">
        <v>481</v>
      </c>
      <c r="D119" s="56" t="s">
        <v>232</v>
      </c>
      <c r="E119" s="86" t="s">
        <v>233</v>
      </c>
      <c r="F119" s="86"/>
      <c r="G119" s="86"/>
      <c r="H119" s="69" t="s">
        <v>1645</v>
      </c>
      <c r="I119" s="86"/>
      <c r="J119" s="86"/>
      <c r="K119" s="126"/>
      <c r="L119" s="126"/>
      <c r="M119" s="126"/>
      <c r="N119" s="126"/>
      <c r="O119" s="126"/>
      <c r="P119" s="56"/>
      <c r="Q119" s="56"/>
      <c r="R119" s="56"/>
      <c r="S119" s="56"/>
      <c r="T119" s="56"/>
      <c r="U119" s="56"/>
      <c r="V119" s="56"/>
      <c r="W119" s="56"/>
    </row>
    <row r="120" spans="2:23" s="29" customFormat="1" x14ac:dyDescent="0.25">
      <c r="B120" s="86" t="s">
        <v>501</v>
      </c>
      <c r="C120" s="86" t="s">
        <v>481</v>
      </c>
      <c r="D120" s="56" t="s">
        <v>4</v>
      </c>
      <c r="E120" s="86" t="s">
        <v>2</v>
      </c>
      <c r="F120" s="86"/>
      <c r="G120" s="86"/>
      <c r="H120" s="69" t="s">
        <v>1645</v>
      </c>
      <c r="I120" s="86"/>
      <c r="J120" s="86"/>
      <c r="K120" s="126"/>
      <c r="L120" s="126"/>
      <c r="M120" s="126"/>
      <c r="N120" s="126"/>
      <c r="O120" s="126"/>
      <c r="P120" s="56"/>
      <c r="Q120" s="56"/>
      <c r="R120" s="56"/>
      <c r="S120" s="56"/>
      <c r="T120" s="56"/>
      <c r="U120" s="56"/>
      <c r="V120" s="56"/>
      <c r="W120" s="56"/>
    </row>
    <row r="121" spans="2:23" s="29" customFormat="1" x14ac:dyDescent="0.25">
      <c r="B121" s="86" t="s">
        <v>501</v>
      </c>
      <c r="C121" s="86" t="s">
        <v>481</v>
      </c>
      <c r="D121" s="56" t="s">
        <v>5</v>
      </c>
      <c r="E121" s="86" t="s">
        <v>1011</v>
      </c>
      <c r="F121" s="86"/>
      <c r="G121" s="86"/>
      <c r="H121" s="69" t="s">
        <v>1645</v>
      </c>
      <c r="I121" s="86"/>
      <c r="J121" s="86"/>
      <c r="K121" s="126"/>
      <c r="L121" s="126"/>
      <c r="M121" s="126"/>
      <c r="N121" s="126"/>
      <c r="O121" s="126"/>
      <c r="P121" s="56"/>
      <c r="Q121" s="56"/>
      <c r="R121" s="56"/>
      <c r="S121" s="56"/>
      <c r="T121" s="56"/>
      <c r="U121" s="56"/>
      <c r="V121" s="56"/>
      <c r="W121" s="56"/>
    </row>
    <row r="122" spans="2:23" s="29" customFormat="1" x14ac:dyDescent="0.25">
      <c r="B122" s="86" t="s">
        <v>501</v>
      </c>
      <c r="C122" s="86" t="s">
        <v>481</v>
      </c>
      <c r="D122" s="56" t="s">
        <v>208</v>
      </c>
      <c r="E122" s="86" t="s">
        <v>209</v>
      </c>
      <c r="F122" s="86"/>
      <c r="G122" s="86"/>
      <c r="H122" s="69" t="s">
        <v>1645</v>
      </c>
      <c r="I122" s="86"/>
      <c r="J122" s="86"/>
      <c r="K122" s="126"/>
      <c r="L122" s="126"/>
      <c r="M122" s="126"/>
      <c r="N122" s="126"/>
      <c r="O122" s="126"/>
      <c r="P122" s="56"/>
      <c r="Q122" s="56"/>
      <c r="R122" s="56"/>
      <c r="S122" s="56"/>
      <c r="T122" s="56"/>
      <c r="U122" s="56"/>
      <c r="V122" s="56"/>
      <c r="W122" s="56"/>
    </row>
    <row r="123" spans="2:23" s="29" customFormat="1" x14ac:dyDescent="0.25">
      <c r="B123" s="86" t="s">
        <v>501</v>
      </c>
      <c r="C123" s="86" t="s">
        <v>481</v>
      </c>
      <c r="D123" s="56" t="s">
        <v>210</v>
      </c>
      <c r="E123" s="86" t="s">
        <v>211</v>
      </c>
      <c r="F123" s="86"/>
      <c r="G123" s="86"/>
      <c r="H123" s="69" t="s">
        <v>1645</v>
      </c>
      <c r="I123" s="86"/>
      <c r="J123" s="86"/>
      <c r="K123" s="126"/>
      <c r="L123" s="126"/>
      <c r="M123" s="126"/>
      <c r="N123" s="126"/>
      <c r="O123" s="126"/>
      <c r="P123" s="56"/>
      <c r="Q123" s="56"/>
      <c r="R123" s="56"/>
      <c r="S123" s="56"/>
      <c r="T123" s="56"/>
      <c r="U123" s="56"/>
      <c r="V123" s="56"/>
      <c r="W123" s="56"/>
    </row>
    <row r="124" spans="2:23" s="29" customFormat="1" x14ac:dyDescent="0.25">
      <c r="B124" s="86" t="s">
        <v>501</v>
      </c>
      <c r="C124" s="86" t="s">
        <v>481</v>
      </c>
      <c r="D124" s="56" t="s">
        <v>212</v>
      </c>
      <c r="E124" s="86" t="s">
        <v>213</v>
      </c>
      <c r="F124" s="86"/>
      <c r="G124" s="86"/>
      <c r="H124" s="69" t="s">
        <v>1645</v>
      </c>
      <c r="I124" s="86"/>
      <c r="J124" s="86"/>
      <c r="K124" s="126"/>
      <c r="L124" s="126"/>
      <c r="M124" s="126"/>
      <c r="N124" s="126"/>
      <c r="O124" s="126"/>
      <c r="P124" s="56"/>
      <c r="Q124" s="56"/>
      <c r="R124" s="56"/>
      <c r="S124" s="56"/>
      <c r="T124" s="56"/>
      <c r="U124" s="56"/>
      <c r="V124" s="56"/>
      <c r="W124" s="56"/>
    </row>
    <row r="125" spans="2:23" s="29" customFormat="1" x14ac:dyDescent="0.25">
      <c r="B125" s="86" t="s">
        <v>501</v>
      </c>
      <c r="C125" s="86" t="s">
        <v>481</v>
      </c>
      <c r="D125" s="56" t="s">
        <v>214</v>
      </c>
      <c r="E125" s="86" t="s">
        <v>215</v>
      </c>
      <c r="F125" s="86"/>
      <c r="G125" s="86"/>
      <c r="H125" s="69" t="s">
        <v>1645</v>
      </c>
      <c r="I125" s="86"/>
      <c r="J125" s="86"/>
      <c r="K125" s="126"/>
      <c r="L125" s="126"/>
      <c r="M125" s="126"/>
      <c r="N125" s="126"/>
      <c r="O125" s="126"/>
      <c r="P125" s="56"/>
      <c r="Q125" s="56"/>
      <c r="R125" s="56"/>
      <c r="S125" s="56"/>
      <c r="T125" s="56"/>
      <c r="U125" s="56"/>
      <c r="V125" s="56"/>
      <c r="W125" s="56"/>
    </row>
    <row r="126" spans="2:23" s="29" customFormat="1" x14ac:dyDescent="0.25">
      <c r="B126" s="86" t="s">
        <v>501</v>
      </c>
      <c r="C126" s="86" t="s">
        <v>481</v>
      </c>
      <c r="D126" s="56" t="s">
        <v>216</v>
      </c>
      <c r="E126" s="86" t="s">
        <v>217</v>
      </c>
      <c r="F126" s="86"/>
      <c r="G126" s="86"/>
      <c r="H126" s="69" t="s">
        <v>1645</v>
      </c>
      <c r="I126" s="86"/>
      <c r="J126" s="86"/>
      <c r="K126" s="126"/>
      <c r="L126" s="126"/>
      <c r="M126" s="126"/>
      <c r="N126" s="126"/>
      <c r="O126" s="126"/>
      <c r="P126" s="56"/>
      <c r="Q126" s="56"/>
      <c r="R126" s="56"/>
      <c r="S126" s="56"/>
      <c r="T126" s="56"/>
      <c r="U126" s="56"/>
      <c r="V126" s="56"/>
      <c r="W126" s="56"/>
    </row>
    <row r="127" spans="2:23" s="29" customFormat="1" x14ac:dyDescent="0.25">
      <c r="B127" s="86" t="s">
        <v>501</v>
      </c>
      <c r="C127" s="86" t="s">
        <v>481</v>
      </c>
      <c r="D127" s="56" t="s">
        <v>234</v>
      </c>
      <c r="E127" s="86" t="s">
        <v>235</v>
      </c>
      <c r="F127" s="86"/>
      <c r="G127" s="86"/>
      <c r="H127" s="69" t="s">
        <v>1645</v>
      </c>
      <c r="I127" s="86"/>
      <c r="J127" s="86"/>
      <c r="K127" s="126"/>
      <c r="L127" s="126"/>
      <c r="M127" s="126"/>
      <c r="N127" s="126"/>
      <c r="O127" s="126"/>
      <c r="P127" s="56"/>
      <c r="Q127" s="56"/>
      <c r="R127" s="56"/>
      <c r="S127" s="56"/>
      <c r="T127" s="56"/>
      <c r="U127" s="56"/>
      <c r="V127" s="56"/>
      <c r="W127" s="56"/>
    </row>
    <row r="128" spans="2:23" s="29" customFormat="1" x14ac:dyDescent="0.25">
      <c r="B128" s="86"/>
      <c r="C128" s="86"/>
      <c r="D128" s="56"/>
      <c r="E128" s="86"/>
      <c r="F128" s="86"/>
      <c r="G128" s="86"/>
      <c r="H128" s="86"/>
      <c r="I128" s="86"/>
      <c r="J128" s="86"/>
      <c r="K128" s="126"/>
      <c r="L128" s="126"/>
      <c r="M128" s="126"/>
      <c r="N128" s="126"/>
      <c r="O128" s="126"/>
      <c r="P128" s="56"/>
      <c r="Q128" s="56"/>
      <c r="R128" s="56"/>
      <c r="S128" s="56"/>
      <c r="T128" s="56"/>
      <c r="U128" s="56"/>
      <c r="V128" s="56"/>
      <c r="W128" s="56"/>
    </row>
    <row r="129" spans="1:23" s="29" customFormat="1" x14ac:dyDescent="0.25">
      <c r="B129" s="86"/>
      <c r="C129" s="86"/>
      <c r="D129" s="56"/>
      <c r="E129" s="86"/>
      <c r="F129" s="86"/>
      <c r="G129" s="86"/>
      <c r="H129" s="86"/>
      <c r="I129" s="86"/>
      <c r="J129" s="86"/>
      <c r="K129" s="126"/>
      <c r="L129" s="126"/>
      <c r="M129" s="126"/>
      <c r="N129" s="126"/>
      <c r="O129" s="126"/>
      <c r="P129" s="56"/>
      <c r="Q129" s="56"/>
      <c r="R129" s="56"/>
      <c r="S129" s="56"/>
      <c r="T129" s="56"/>
      <c r="U129" s="56"/>
      <c r="V129" s="56"/>
      <c r="W129" s="56"/>
    </row>
    <row r="130" spans="1:23" s="29" customFormat="1" ht="16.5" thickBot="1" x14ac:dyDescent="0.3">
      <c r="B130" s="86"/>
      <c r="C130" s="86"/>
      <c r="D130" s="56"/>
      <c r="E130" s="86"/>
      <c r="F130" s="86"/>
      <c r="G130" s="86"/>
      <c r="H130" s="86"/>
      <c r="I130" s="86"/>
      <c r="J130" s="86"/>
      <c r="K130" s="126"/>
      <c r="L130" s="126"/>
      <c r="M130" s="126"/>
      <c r="N130" s="126"/>
      <c r="O130" s="126"/>
      <c r="P130" s="56"/>
      <c r="Q130" s="56"/>
      <c r="R130" s="56"/>
      <c r="S130" s="56"/>
      <c r="T130" s="56"/>
      <c r="U130" s="56"/>
      <c r="V130" s="56"/>
      <c r="W130" s="56"/>
    </row>
    <row r="131" spans="1:23" s="29" customFormat="1" ht="16.5" thickTop="1" x14ac:dyDescent="0.25">
      <c r="B131" s="128"/>
      <c r="C131" s="128"/>
      <c r="D131" s="74"/>
      <c r="E131" s="128"/>
      <c r="F131" s="128"/>
      <c r="G131" s="128"/>
      <c r="H131" s="128"/>
      <c r="I131" s="128"/>
      <c r="J131" s="128"/>
      <c r="K131" s="129"/>
      <c r="L131" s="129"/>
      <c r="M131" s="129"/>
      <c r="N131" s="129"/>
      <c r="O131" s="129"/>
      <c r="P131" s="74"/>
      <c r="Q131" s="74"/>
      <c r="R131" s="74"/>
      <c r="S131" s="74"/>
      <c r="T131" s="56"/>
      <c r="U131" s="56"/>
      <c r="V131" s="56"/>
      <c r="W131" s="56"/>
    </row>
    <row r="132" spans="1:23" s="29" customFormat="1" x14ac:dyDescent="0.25">
      <c r="B132" s="86" t="s">
        <v>501</v>
      </c>
      <c r="C132" s="86" t="s">
        <v>159</v>
      </c>
      <c r="D132" s="56" t="s">
        <v>160</v>
      </c>
      <c r="E132" s="86" t="s">
        <v>161</v>
      </c>
      <c r="F132" s="86"/>
      <c r="G132" s="86"/>
      <c r="H132" s="86">
        <v>4.8</v>
      </c>
      <c r="I132" s="86"/>
      <c r="J132" s="86">
        <v>2009</v>
      </c>
      <c r="K132" s="126"/>
      <c r="L132" s="126"/>
      <c r="M132" s="126"/>
      <c r="N132" s="126"/>
      <c r="O132" s="126"/>
      <c r="P132" s="113" t="s">
        <v>480</v>
      </c>
      <c r="Q132" s="113" t="s">
        <v>1046</v>
      </c>
      <c r="R132" s="113" t="s">
        <v>480</v>
      </c>
      <c r="S132" s="113" t="s">
        <v>1050</v>
      </c>
      <c r="T132" s="56"/>
      <c r="U132" s="56"/>
      <c r="V132" s="56"/>
      <c r="W132" s="56"/>
    </row>
    <row r="133" spans="1:23" s="29" customFormat="1" x14ac:dyDescent="0.25">
      <c r="B133" s="86" t="s">
        <v>501</v>
      </c>
      <c r="C133" s="86" t="s">
        <v>159</v>
      </c>
      <c r="D133" s="56" t="s">
        <v>164</v>
      </c>
      <c r="E133" s="86" t="s">
        <v>165</v>
      </c>
      <c r="F133" s="86"/>
      <c r="G133" s="86">
        <v>1.69</v>
      </c>
      <c r="H133" s="86">
        <v>2.63</v>
      </c>
      <c r="I133" s="86">
        <v>4.07</v>
      </c>
      <c r="J133" s="86">
        <v>2013</v>
      </c>
      <c r="K133" s="126" t="s">
        <v>1052</v>
      </c>
      <c r="L133" s="126" t="s">
        <v>692</v>
      </c>
      <c r="M133" s="126" t="s">
        <v>693</v>
      </c>
      <c r="N133" s="126" t="s">
        <v>807</v>
      </c>
      <c r="O133" s="138">
        <v>7381</v>
      </c>
      <c r="P133" s="113" t="s">
        <v>579</v>
      </c>
      <c r="Q133" s="113" t="s">
        <v>1051</v>
      </c>
      <c r="R133" s="113" t="s">
        <v>578</v>
      </c>
      <c r="S133" s="113" t="s">
        <v>508</v>
      </c>
      <c r="T133" s="56"/>
      <c r="U133" s="56"/>
      <c r="V133" s="56"/>
      <c r="W133" s="56"/>
    </row>
    <row r="134" spans="1:23" s="48" customFormat="1" ht="17.25" customHeight="1" x14ac:dyDescent="0.25">
      <c r="A134" s="32"/>
      <c r="B134" s="139" t="s">
        <v>501</v>
      </c>
      <c r="C134" s="139" t="s">
        <v>159</v>
      </c>
      <c r="D134" s="66" t="s">
        <v>168</v>
      </c>
      <c r="E134" s="139" t="s">
        <v>169</v>
      </c>
      <c r="F134" s="139"/>
      <c r="G134" s="139"/>
      <c r="H134" s="139">
        <v>27.3</v>
      </c>
      <c r="I134" s="139"/>
      <c r="J134" s="139">
        <v>2014</v>
      </c>
      <c r="K134" s="140" t="s">
        <v>695</v>
      </c>
      <c r="L134" s="140" t="s">
        <v>1283</v>
      </c>
      <c r="M134" s="140" t="s">
        <v>693</v>
      </c>
      <c r="N134" s="139" t="s">
        <v>1282</v>
      </c>
      <c r="O134" s="140" t="s">
        <v>1284</v>
      </c>
      <c r="P134" s="141" t="s">
        <v>15</v>
      </c>
      <c r="Q134" s="141" t="s">
        <v>1058</v>
      </c>
      <c r="R134" s="142" t="s">
        <v>1281</v>
      </c>
      <c r="S134" s="142" t="s">
        <v>1280</v>
      </c>
      <c r="T134" s="66" t="s">
        <v>1028</v>
      </c>
      <c r="U134" s="66"/>
      <c r="V134" s="66"/>
      <c r="W134" s="66"/>
    </row>
    <row r="135" spans="1:23" s="29" customFormat="1" x14ac:dyDescent="0.25">
      <c r="B135" s="86" t="s">
        <v>501</v>
      </c>
      <c r="C135" s="86" t="s">
        <v>159</v>
      </c>
      <c r="D135" s="56" t="s">
        <v>180</v>
      </c>
      <c r="E135" s="86" t="s">
        <v>181</v>
      </c>
      <c r="F135" s="86"/>
      <c r="G135" s="86"/>
      <c r="H135" s="86">
        <v>21.5</v>
      </c>
      <c r="I135" s="86"/>
      <c r="J135" s="86">
        <v>2003</v>
      </c>
      <c r="K135" s="126"/>
      <c r="L135" s="126" t="s">
        <v>692</v>
      </c>
      <c r="M135" s="126" t="s">
        <v>693</v>
      </c>
      <c r="N135" s="126" t="s">
        <v>1055</v>
      </c>
      <c r="O135" s="126" t="s">
        <v>1056</v>
      </c>
      <c r="P135" s="113" t="s">
        <v>480</v>
      </c>
      <c r="Q135" s="113" t="s">
        <v>1057</v>
      </c>
      <c r="R135" s="113" t="s">
        <v>1054</v>
      </c>
      <c r="S135" s="113" t="s">
        <v>508</v>
      </c>
      <c r="T135" s="56"/>
      <c r="U135" s="56"/>
      <c r="V135" s="56"/>
      <c r="W135" s="56"/>
    </row>
    <row r="136" spans="1:23" s="29" customFormat="1" x14ac:dyDescent="0.25">
      <c r="B136" s="86"/>
      <c r="C136" s="86"/>
      <c r="D136" s="56"/>
      <c r="E136" s="86"/>
      <c r="F136" s="86"/>
      <c r="G136" s="86"/>
      <c r="H136" s="59"/>
      <c r="I136" s="59"/>
      <c r="J136" s="86"/>
      <c r="K136" s="126"/>
      <c r="L136" s="126"/>
      <c r="M136" s="126"/>
      <c r="N136" s="126"/>
      <c r="O136" s="126"/>
      <c r="P136" s="56"/>
      <c r="Q136" s="56"/>
      <c r="R136" s="56"/>
      <c r="S136" s="56"/>
      <c r="T136" s="56"/>
      <c r="U136" s="56"/>
      <c r="V136" s="56"/>
      <c r="W136" s="56"/>
    </row>
    <row r="137" spans="1:23" s="29" customFormat="1" x14ac:dyDescent="0.25">
      <c r="B137" s="86"/>
      <c r="C137" s="86"/>
      <c r="D137" s="56"/>
      <c r="E137" s="86"/>
      <c r="F137" s="86"/>
      <c r="G137" s="86"/>
      <c r="H137" s="59"/>
      <c r="I137" s="59"/>
      <c r="J137" s="86"/>
      <c r="K137" s="126"/>
      <c r="L137" s="126"/>
      <c r="M137" s="126"/>
      <c r="N137" s="126"/>
      <c r="O137" s="126"/>
      <c r="P137" s="56"/>
      <c r="Q137" s="56"/>
      <c r="R137" s="56"/>
      <c r="S137" s="56"/>
      <c r="T137" s="56"/>
      <c r="U137" s="56"/>
      <c r="V137" s="56"/>
      <c r="W137" s="56"/>
    </row>
    <row r="138" spans="1:23" s="29" customFormat="1" x14ac:dyDescent="0.25">
      <c r="B138" s="86" t="s">
        <v>501</v>
      </c>
      <c r="C138" s="86" t="s">
        <v>159</v>
      </c>
      <c r="D138" s="56" t="s">
        <v>162</v>
      </c>
      <c r="E138" s="86" t="s">
        <v>163</v>
      </c>
      <c r="F138" s="86"/>
      <c r="G138" s="86"/>
      <c r="H138" s="69" t="s">
        <v>1645</v>
      </c>
      <c r="I138" s="86"/>
      <c r="J138" s="86"/>
      <c r="K138" s="126"/>
      <c r="L138" s="126"/>
      <c r="M138" s="126"/>
      <c r="N138" s="126"/>
      <c r="O138" s="126"/>
      <c r="P138" s="56"/>
      <c r="Q138" s="56"/>
      <c r="R138" s="56"/>
      <c r="S138" s="56"/>
      <c r="T138" s="56"/>
      <c r="U138" s="56"/>
      <c r="V138" s="56"/>
      <c r="W138" s="56"/>
    </row>
    <row r="139" spans="1:23" s="29" customFormat="1" x14ac:dyDescent="0.25">
      <c r="B139" s="86" t="s">
        <v>501</v>
      </c>
      <c r="C139" s="86" t="s">
        <v>159</v>
      </c>
      <c r="D139" s="56" t="s">
        <v>166</v>
      </c>
      <c r="E139" s="86" t="s">
        <v>167</v>
      </c>
      <c r="F139" s="86"/>
      <c r="G139" s="86"/>
      <c r="H139" s="69" t="s">
        <v>1645</v>
      </c>
      <c r="I139" s="86"/>
      <c r="J139" s="86"/>
      <c r="K139" s="126"/>
      <c r="L139" s="126"/>
      <c r="M139" s="126"/>
      <c r="N139" s="126"/>
      <c r="O139" s="126"/>
      <c r="P139" s="56"/>
      <c r="Q139" s="56"/>
      <c r="R139" s="56"/>
      <c r="S139" s="56"/>
      <c r="T139" s="56"/>
      <c r="U139" s="56"/>
      <c r="V139" s="56"/>
      <c r="W139" s="56"/>
    </row>
    <row r="140" spans="1:23" s="29" customFormat="1" x14ac:dyDescent="0.25">
      <c r="B140" s="86" t="s">
        <v>501</v>
      </c>
      <c r="C140" s="86" t="s">
        <v>159</v>
      </c>
      <c r="D140" s="56" t="s">
        <v>170</v>
      </c>
      <c r="E140" s="86" t="s">
        <v>171</v>
      </c>
      <c r="F140" s="86"/>
      <c r="G140" s="86"/>
      <c r="H140" s="69" t="s">
        <v>1645</v>
      </c>
      <c r="I140" s="86"/>
      <c r="J140" s="86"/>
      <c r="K140" s="126"/>
      <c r="L140" s="126"/>
      <c r="M140" s="126"/>
      <c r="N140" s="126"/>
      <c r="O140" s="126"/>
      <c r="P140" s="56"/>
      <c r="Q140" s="56"/>
      <c r="R140" s="56"/>
      <c r="S140" s="56"/>
      <c r="T140" s="56"/>
      <c r="U140" s="56"/>
      <c r="V140" s="56"/>
      <c r="W140" s="56"/>
    </row>
    <row r="141" spans="1:23" s="29" customFormat="1" x14ac:dyDescent="0.25">
      <c r="B141" s="86" t="s">
        <v>501</v>
      </c>
      <c r="C141" s="86" t="s">
        <v>159</v>
      </c>
      <c r="D141" s="56" t="s">
        <v>184</v>
      </c>
      <c r="E141" s="86" t="s">
        <v>185</v>
      </c>
      <c r="F141" s="86"/>
      <c r="G141" s="86"/>
      <c r="H141" s="69" t="s">
        <v>1645</v>
      </c>
      <c r="I141" s="86"/>
      <c r="J141" s="86"/>
      <c r="K141" s="126"/>
      <c r="L141" s="126"/>
      <c r="M141" s="126"/>
      <c r="N141" s="126"/>
      <c r="O141" s="126"/>
      <c r="P141" s="56"/>
      <c r="Q141" s="56"/>
      <c r="R141" s="56"/>
      <c r="S141" s="56"/>
      <c r="T141" s="56"/>
      <c r="U141" s="56"/>
      <c r="V141" s="56"/>
      <c r="W141" s="56"/>
    </row>
    <row r="142" spans="1:23" s="29" customFormat="1" x14ac:dyDescent="0.25">
      <c r="B142" s="86" t="s">
        <v>501</v>
      </c>
      <c r="C142" s="86" t="s">
        <v>159</v>
      </c>
      <c r="D142" s="56" t="s">
        <v>186</v>
      </c>
      <c r="E142" s="86" t="s">
        <v>187</v>
      </c>
      <c r="F142" s="86"/>
      <c r="G142" s="86"/>
      <c r="H142" s="69" t="s">
        <v>1645</v>
      </c>
      <c r="I142" s="86"/>
      <c r="J142" s="86"/>
      <c r="K142" s="126"/>
      <c r="L142" s="126"/>
      <c r="M142" s="126"/>
      <c r="N142" s="126"/>
      <c r="O142" s="126"/>
      <c r="P142" s="56"/>
      <c r="Q142" s="56"/>
      <c r="R142" s="56"/>
      <c r="S142" s="56"/>
      <c r="T142" s="56"/>
      <c r="U142" s="56"/>
      <c r="V142" s="56"/>
      <c r="W142" s="56"/>
    </row>
    <row r="143" spans="1:23" s="29" customFormat="1" x14ac:dyDescent="0.25">
      <c r="B143" s="86" t="s">
        <v>501</v>
      </c>
      <c r="C143" s="86" t="s">
        <v>159</v>
      </c>
      <c r="D143" s="56" t="s">
        <v>172</v>
      </c>
      <c r="E143" s="86" t="s">
        <v>173</v>
      </c>
      <c r="F143" s="86"/>
      <c r="G143" s="86"/>
      <c r="H143" s="69" t="s">
        <v>1645</v>
      </c>
      <c r="I143" s="86"/>
      <c r="J143" s="86"/>
      <c r="K143" s="126"/>
      <c r="L143" s="126"/>
      <c r="M143" s="126"/>
      <c r="N143" s="126"/>
      <c r="O143" s="126"/>
      <c r="P143" s="56"/>
      <c r="Q143" s="56"/>
      <c r="R143" s="56"/>
      <c r="S143" s="56"/>
      <c r="T143" s="56"/>
      <c r="U143" s="56"/>
      <c r="V143" s="56"/>
      <c r="W143" s="56"/>
    </row>
    <row r="144" spans="1:23" s="29" customFormat="1" x14ac:dyDescent="0.25">
      <c r="B144" s="86" t="s">
        <v>501</v>
      </c>
      <c r="C144" s="86" t="s">
        <v>159</v>
      </c>
      <c r="D144" s="56" t="s">
        <v>174</v>
      </c>
      <c r="E144" s="86" t="s">
        <v>175</v>
      </c>
      <c r="F144" s="86"/>
      <c r="G144" s="86"/>
      <c r="H144" s="69" t="s">
        <v>1645</v>
      </c>
      <c r="I144" s="86"/>
      <c r="J144" s="86"/>
      <c r="K144" s="126"/>
      <c r="L144" s="126"/>
      <c r="M144" s="126"/>
      <c r="N144" s="126"/>
      <c r="O144" s="126"/>
      <c r="P144" s="56"/>
      <c r="Q144" s="56"/>
      <c r="R144" s="56"/>
      <c r="S144" s="56"/>
      <c r="T144" s="56"/>
      <c r="U144" s="56"/>
      <c r="V144" s="56"/>
      <c r="W144" s="56"/>
    </row>
    <row r="145" spans="2:23" s="29" customFormat="1" x14ac:dyDescent="0.25">
      <c r="B145" s="86" t="s">
        <v>501</v>
      </c>
      <c r="C145" s="86" t="s">
        <v>159</v>
      </c>
      <c r="D145" s="56" t="s">
        <v>176</v>
      </c>
      <c r="E145" s="86" t="s">
        <v>177</v>
      </c>
      <c r="F145" s="86"/>
      <c r="G145" s="86"/>
      <c r="H145" s="69" t="s">
        <v>1645</v>
      </c>
      <c r="I145" s="86"/>
      <c r="J145" s="86"/>
      <c r="K145" s="126"/>
      <c r="L145" s="126"/>
      <c r="M145" s="126"/>
      <c r="N145" s="126"/>
      <c r="O145" s="126"/>
      <c r="P145" s="56"/>
      <c r="Q145" s="56"/>
      <c r="R145" s="56"/>
      <c r="S145" s="56"/>
      <c r="T145" s="56"/>
      <c r="U145" s="56"/>
      <c r="V145" s="56"/>
      <c r="W145" s="56"/>
    </row>
    <row r="146" spans="2:23" s="29" customFormat="1" x14ac:dyDescent="0.25">
      <c r="B146" s="86" t="s">
        <v>501</v>
      </c>
      <c r="C146" s="86" t="s">
        <v>159</v>
      </c>
      <c r="D146" s="56" t="s">
        <v>178</v>
      </c>
      <c r="E146" s="86" t="s">
        <v>179</v>
      </c>
      <c r="F146" s="86"/>
      <c r="G146" s="86"/>
      <c r="H146" s="69" t="s">
        <v>1645</v>
      </c>
      <c r="I146" s="86"/>
      <c r="J146" s="86"/>
      <c r="K146" s="126"/>
      <c r="L146" s="126"/>
      <c r="M146" s="126"/>
      <c r="N146" s="126"/>
      <c r="O146" s="126"/>
      <c r="P146" s="56"/>
      <c r="Q146" s="56"/>
      <c r="R146" s="56"/>
      <c r="S146" s="56"/>
      <c r="T146" s="56"/>
      <c r="U146" s="56"/>
      <c r="V146" s="56"/>
      <c r="W146" s="56"/>
    </row>
    <row r="147" spans="2:23" s="29" customFormat="1" x14ac:dyDescent="0.25">
      <c r="B147" s="86" t="s">
        <v>501</v>
      </c>
      <c r="C147" s="86" t="s">
        <v>159</v>
      </c>
      <c r="D147" s="56" t="s">
        <v>182</v>
      </c>
      <c r="E147" s="86" t="s">
        <v>183</v>
      </c>
      <c r="F147" s="86"/>
      <c r="G147" s="86"/>
      <c r="H147" s="69" t="s">
        <v>1645</v>
      </c>
      <c r="I147" s="86"/>
      <c r="J147" s="86"/>
      <c r="K147" s="126"/>
      <c r="L147" s="126"/>
      <c r="M147" s="126"/>
      <c r="N147" s="126"/>
      <c r="O147" s="126"/>
      <c r="P147" s="56"/>
      <c r="Q147" s="56"/>
      <c r="R147" s="56"/>
      <c r="S147" s="56"/>
      <c r="T147" s="56"/>
      <c r="U147" s="56"/>
      <c r="V147" s="56"/>
      <c r="W147" s="56"/>
    </row>
    <row r="148" spans="2:23" s="29" customFormat="1" x14ac:dyDescent="0.25">
      <c r="B148" s="56"/>
      <c r="C148" s="56"/>
      <c r="D148" s="56"/>
      <c r="E148" s="56"/>
      <c r="F148" s="56"/>
      <c r="G148" s="56"/>
      <c r="H148" s="56"/>
      <c r="I148" s="56"/>
      <c r="J148" s="56"/>
      <c r="K148" s="111"/>
      <c r="L148" s="111"/>
      <c r="M148" s="111"/>
      <c r="N148" s="111"/>
      <c r="O148" s="111"/>
      <c r="P148" s="56"/>
      <c r="Q148" s="56"/>
      <c r="R148" s="56"/>
      <c r="S148" s="56"/>
      <c r="T148" s="56"/>
      <c r="U148" s="56"/>
      <c r="V148" s="56"/>
      <c r="W148" s="56"/>
    </row>
    <row r="149" spans="2:23" s="29" customFormat="1" x14ac:dyDescent="0.25">
      <c r="B149" s="56"/>
      <c r="C149" s="56"/>
      <c r="D149" s="56"/>
      <c r="E149" s="56"/>
      <c r="F149" s="56"/>
      <c r="G149" s="56"/>
      <c r="H149" s="56"/>
      <c r="I149" s="56"/>
      <c r="J149" s="56"/>
      <c r="K149" s="111"/>
      <c r="L149" s="111"/>
      <c r="M149" s="111"/>
      <c r="N149" s="111"/>
      <c r="O149" s="111"/>
      <c r="P149" s="56"/>
      <c r="Q149" s="56"/>
      <c r="R149" s="56"/>
      <c r="S149" s="56"/>
      <c r="T149" s="56"/>
      <c r="U149" s="56"/>
      <c r="V149" s="56"/>
      <c r="W149" s="56"/>
    </row>
    <row r="150" spans="2:23" s="29" customFormat="1" ht="16.5" thickBot="1" x14ac:dyDescent="0.3">
      <c r="B150" s="86"/>
      <c r="C150" s="86"/>
      <c r="D150" s="56"/>
      <c r="E150" s="86"/>
      <c r="F150" s="86"/>
      <c r="G150" s="86"/>
      <c r="H150" s="86"/>
      <c r="I150" s="86"/>
      <c r="J150" s="86"/>
      <c r="K150" s="126"/>
      <c r="L150" s="126"/>
      <c r="M150" s="126"/>
      <c r="N150" s="126"/>
      <c r="O150" s="126"/>
      <c r="P150" s="56"/>
      <c r="Q150" s="56"/>
      <c r="R150" s="56"/>
      <c r="S150" s="56"/>
      <c r="T150" s="56"/>
      <c r="U150" s="56"/>
      <c r="V150" s="56"/>
      <c r="W150" s="56"/>
    </row>
    <row r="151" spans="2:23" s="29" customFormat="1" ht="16.5" thickTop="1" x14ac:dyDescent="0.25">
      <c r="B151" s="128"/>
      <c r="C151" s="128"/>
      <c r="D151" s="74"/>
      <c r="E151" s="128"/>
      <c r="F151" s="128"/>
      <c r="G151" s="128"/>
      <c r="H151" s="128"/>
      <c r="I151" s="128"/>
      <c r="J151" s="128"/>
      <c r="K151" s="129"/>
      <c r="L151" s="129"/>
      <c r="M151" s="129"/>
      <c r="N151" s="129"/>
      <c r="O151" s="129"/>
      <c r="P151" s="74"/>
      <c r="Q151" s="74"/>
      <c r="R151" s="74"/>
      <c r="S151" s="74"/>
      <c r="T151" s="56"/>
      <c r="U151" s="56"/>
      <c r="V151" s="56"/>
      <c r="W151" s="56"/>
    </row>
    <row r="152" spans="2:23" s="29" customFormat="1" x14ac:dyDescent="0.25">
      <c r="B152" s="135"/>
      <c r="C152" s="135"/>
      <c r="D152" s="80"/>
      <c r="E152" s="135"/>
      <c r="F152" s="135"/>
      <c r="G152" s="135"/>
      <c r="H152" s="135"/>
      <c r="I152" s="135"/>
      <c r="J152" s="135"/>
      <c r="K152" s="136"/>
      <c r="L152" s="136"/>
      <c r="M152" s="136"/>
      <c r="N152" s="136"/>
      <c r="O152" s="136"/>
      <c r="P152" s="80"/>
      <c r="Q152" s="80"/>
      <c r="R152" s="80"/>
      <c r="S152" s="80"/>
      <c r="T152" s="56"/>
      <c r="U152" s="56"/>
      <c r="V152" s="56"/>
      <c r="W152" s="56"/>
    </row>
    <row r="153" spans="2:23" s="29" customFormat="1" x14ac:dyDescent="0.25">
      <c r="B153" s="135"/>
      <c r="C153" s="135"/>
      <c r="D153" s="80"/>
      <c r="E153" s="135"/>
      <c r="F153" s="135"/>
      <c r="G153" s="135"/>
      <c r="H153" s="135"/>
      <c r="I153" s="135"/>
      <c r="J153" s="135"/>
      <c r="K153" s="136"/>
      <c r="L153" s="136"/>
      <c r="M153" s="136"/>
      <c r="N153" s="136"/>
      <c r="O153" s="136"/>
      <c r="P153" s="80"/>
      <c r="Q153" s="80"/>
      <c r="R153" s="80"/>
      <c r="S153" s="80"/>
      <c r="T153" s="56"/>
      <c r="U153" s="56"/>
      <c r="V153" s="56"/>
      <c r="W153" s="56"/>
    </row>
    <row r="154" spans="2:23" s="29" customFormat="1" x14ac:dyDescent="0.25">
      <c r="B154" s="56"/>
      <c r="C154" s="56"/>
      <c r="D154" s="56"/>
      <c r="E154" s="56"/>
      <c r="F154" s="56"/>
      <c r="G154" s="56"/>
      <c r="H154" s="56"/>
      <c r="I154" s="56"/>
      <c r="J154" s="56"/>
      <c r="K154" s="111"/>
      <c r="L154" s="111"/>
      <c r="M154" s="111"/>
      <c r="N154" s="111"/>
      <c r="O154" s="111"/>
      <c r="P154" s="56"/>
      <c r="Q154" s="56"/>
      <c r="R154" s="56"/>
      <c r="S154" s="56"/>
      <c r="T154" s="56"/>
      <c r="U154" s="56"/>
      <c r="V154" s="56"/>
      <c r="W154" s="56"/>
    </row>
    <row r="155" spans="2:23" s="29" customFormat="1" x14ac:dyDescent="0.25">
      <c r="B155" s="86" t="s">
        <v>501</v>
      </c>
      <c r="C155" s="80" t="s">
        <v>1643</v>
      </c>
      <c r="D155" s="56" t="s">
        <v>138</v>
      </c>
      <c r="E155" s="86" t="s">
        <v>139</v>
      </c>
      <c r="F155" s="86"/>
      <c r="G155" s="86"/>
      <c r="H155" s="69" t="s">
        <v>1645</v>
      </c>
      <c r="I155" s="86"/>
      <c r="J155" s="86"/>
      <c r="K155" s="126"/>
      <c r="L155" s="126"/>
      <c r="M155" s="126"/>
      <c r="N155" s="126"/>
      <c r="O155" s="126"/>
      <c r="P155" s="56"/>
      <c r="Q155" s="56"/>
      <c r="R155" s="56"/>
      <c r="S155" s="56"/>
      <c r="T155" s="56"/>
      <c r="U155" s="56"/>
      <c r="V155" s="56"/>
      <c r="W155" s="56"/>
    </row>
    <row r="156" spans="2:23" s="29" customFormat="1" x14ac:dyDescent="0.25">
      <c r="B156" s="86" t="s">
        <v>501</v>
      </c>
      <c r="C156" s="80" t="s">
        <v>1643</v>
      </c>
      <c r="D156" s="56" t="s">
        <v>140</v>
      </c>
      <c r="E156" s="86" t="s">
        <v>141</v>
      </c>
      <c r="F156" s="86"/>
      <c r="G156" s="86"/>
      <c r="H156" s="69" t="s">
        <v>1645</v>
      </c>
      <c r="I156" s="86"/>
      <c r="J156" s="86"/>
      <c r="K156" s="126"/>
      <c r="L156" s="126"/>
      <c r="M156" s="126"/>
      <c r="N156" s="126"/>
      <c r="O156" s="126"/>
      <c r="P156" s="56"/>
      <c r="Q156" s="56"/>
      <c r="R156" s="56"/>
      <c r="S156" s="56"/>
      <c r="T156" s="56"/>
      <c r="U156" s="56"/>
      <c r="V156" s="56"/>
      <c r="W156" s="56"/>
    </row>
    <row r="157" spans="2:23" s="29" customFormat="1" x14ac:dyDescent="0.25">
      <c r="B157" s="86" t="s">
        <v>501</v>
      </c>
      <c r="C157" s="80" t="s">
        <v>1643</v>
      </c>
      <c r="D157" s="56" t="s">
        <v>142</v>
      </c>
      <c r="E157" s="86" t="s">
        <v>143</v>
      </c>
      <c r="F157" s="86"/>
      <c r="G157" s="86"/>
      <c r="H157" s="69" t="s">
        <v>1645</v>
      </c>
      <c r="I157" s="86"/>
      <c r="J157" s="86"/>
      <c r="K157" s="126"/>
      <c r="L157" s="126"/>
      <c r="M157" s="126"/>
      <c r="N157" s="126"/>
      <c r="O157" s="126"/>
      <c r="P157" s="56"/>
      <c r="Q157" s="56"/>
      <c r="R157" s="56"/>
      <c r="S157" s="56"/>
      <c r="T157" s="56"/>
      <c r="U157" s="56"/>
      <c r="V157" s="56"/>
      <c r="W157" s="56"/>
    </row>
    <row r="158" spans="2:23" s="29" customFormat="1" x14ac:dyDescent="0.25">
      <c r="B158" s="86" t="s">
        <v>501</v>
      </c>
      <c r="C158" s="80" t="s">
        <v>1643</v>
      </c>
      <c r="D158" s="56" t="s">
        <v>144</v>
      </c>
      <c r="E158" s="86" t="s">
        <v>145</v>
      </c>
      <c r="F158" s="86"/>
      <c r="G158" s="86"/>
      <c r="H158" s="69" t="s">
        <v>1645</v>
      </c>
      <c r="I158" s="86"/>
      <c r="J158" s="86"/>
      <c r="K158" s="126"/>
      <c r="L158" s="126"/>
      <c r="M158" s="126"/>
      <c r="N158" s="126"/>
      <c r="O158" s="126"/>
      <c r="P158" s="56"/>
      <c r="Q158" s="56"/>
      <c r="R158" s="56"/>
      <c r="S158" s="56"/>
      <c r="T158" s="56"/>
      <c r="U158" s="56"/>
      <c r="V158" s="56"/>
      <c r="W158" s="56"/>
    </row>
    <row r="159" spans="2:23" s="29" customFormat="1" x14ac:dyDescent="0.25">
      <c r="B159" s="86" t="s">
        <v>501</v>
      </c>
      <c r="C159" s="80" t="s">
        <v>1643</v>
      </c>
      <c r="D159" s="56" t="s">
        <v>146</v>
      </c>
      <c r="E159" s="86" t="s">
        <v>147</v>
      </c>
      <c r="F159" s="86"/>
      <c r="G159" s="86"/>
      <c r="H159" s="69" t="s">
        <v>1645</v>
      </c>
      <c r="I159" s="86"/>
      <c r="J159" s="86"/>
      <c r="K159" s="126"/>
      <c r="L159" s="126"/>
      <c r="M159" s="126"/>
      <c r="N159" s="126"/>
      <c r="O159" s="126"/>
      <c r="P159" s="56"/>
      <c r="Q159" s="56"/>
      <c r="R159" s="56"/>
      <c r="S159" s="56"/>
      <c r="T159" s="56"/>
      <c r="U159" s="56"/>
      <c r="V159" s="56"/>
      <c r="W159" s="56"/>
    </row>
    <row r="160" spans="2:23" s="29" customFormat="1" x14ac:dyDescent="0.25">
      <c r="B160" s="86" t="s">
        <v>501</v>
      </c>
      <c r="C160" s="80" t="s">
        <v>1643</v>
      </c>
      <c r="D160" s="56" t="s">
        <v>148</v>
      </c>
      <c r="E160" s="86" t="s">
        <v>149</v>
      </c>
      <c r="F160" s="86"/>
      <c r="G160" s="86"/>
      <c r="H160" s="69" t="s">
        <v>1645</v>
      </c>
      <c r="I160" s="86"/>
      <c r="J160" s="86"/>
      <c r="K160" s="126"/>
      <c r="L160" s="126"/>
      <c r="M160" s="126"/>
      <c r="N160" s="126"/>
      <c r="O160" s="126"/>
      <c r="P160" s="56"/>
      <c r="Q160" s="56"/>
      <c r="R160" s="56"/>
      <c r="S160" s="56"/>
      <c r="T160" s="56"/>
      <c r="U160" s="56"/>
      <c r="V160" s="56"/>
      <c r="W160" s="56"/>
    </row>
    <row r="161" spans="1:23" s="29" customFormat="1" x14ac:dyDescent="0.25">
      <c r="B161" s="86" t="s">
        <v>501</v>
      </c>
      <c r="C161" s="80" t="s">
        <v>1643</v>
      </c>
      <c r="D161" s="56" t="s">
        <v>150</v>
      </c>
      <c r="E161" s="86" t="s">
        <v>151</v>
      </c>
      <c r="F161" s="86"/>
      <c r="G161" s="86"/>
      <c r="H161" s="69" t="s">
        <v>1645</v>
      </c>
      <c r="I161" s="86"/>
      <c r="J161" s="86"/>
      <c r="K161" s="126"/>
      <c r="L161" s="126"/>
      <c r="M161" s="126"/>
      <c r="N161" s="126"/>
      <c r="O161" s="126"/>
      <c r="P161" s="56"/>
      <c r="Q161" s="56"/>
      <c r="R161" s="56"/>
      <c r="S161" s="56"/>
      <c r="T161" s="56"/>
      <c r="U161" s="56"/>
      <c r="V161" s="56"/>
      <c r="W161" s="56"/>
    </row>
    <row r="162" spans="1:23" s="29" customFormat="1" x14ac:dyDescent="0.25">
      <c r="B162" s="56"/>
      <c r="C162" s="56"/>
      <c r="D162" s="56"/>
      <c r="E162" s="56"/>
      <c r="F162" s="56"/>
      <c r="G162" s="56"/>
      <c r="H162" s="56"/>
      <c r="I162" s="56"/>
      <c r="J162" s="56"/>
      <c r="K162" s="111"/>
      <c r="L162" s="111"/>
      <c r="M162" s="111"/>
      <c r="N162" s="111"/>
      <c r="O162" s="111"/>
      <c r="P162" s="56"/>
      <c r="Q162" s="56"/>
      <c r="R162" s="56"/>
      <c r="S162" s="56"/>
      <c r="T162" s="56"/>
      <c r="U162" s="56"/>
      <c r="V162" s="56"/>
      <c r="W162" s="56"/>
    </row>
    <row r="163" spans="1:23" s="29" customFormat="1" ht="16.5" thickBot="1" x14ac:dyDescent="0.3">
      <c r="B163" s="86"/>
      <c r="C163" s="86"/>
      <c r="D163" s="56"/>
      <c r="E163" s="86"/>
      <c r="F163" s="86"/>
      <c r="G163" s="86"/>
      <c r="H163" s="86"/>
      <c r="I163" s="86"/>
      <c r="J163" s="86"/>
      <c r="K163" s="126"/>
      <c r="L163" s="126"/>
      <c r="M163" s="126"/>
      <c r="N163" s="126"/>
      <c r="O163" s="126"/>
      <c r="P163" s="56"/>
      <c r="Q163" s="56"/>
      <c r="R163" s="56"/>
      <c r="S163" s="56"/>
      <c r="T163" s="56"/>
      <c r="U163" s="56"/>
      <c r="V163" s="56"/>
      <c r="W163" s="56"/>
    </row>
    <row r="164" spans="1:23" s="29" customFormat="1" ht="16.5" thickTop="1" x14ac:dyDescent="0.25">
      <c r="B164" s="128"/>
      <c r="C164" s="128"/>
      <c r="D164" s="74"/>
      <c r="E164" s="128"/>
      <c r="F164" s="128"/>
      <c r="G164" s="128"/>
      <c r="H164" s="128"/>
      <c r="I164" s="128"/>
      <c r="J164" s="128"/>
      <c r="K164" s="129"/>
      <c r="L164" s="129"/>
      <c r="M164" s="129"/>
      <c r="N164" s="129"/>
      <c r="O164" s="129"/>
      <c r="P164" s="74"/>
      <c r="Q164" s="74"/>
      <c r="R164" s="74"/>
      <c r="S164" s="74"/>
      <c r="T164" s="56"/>
      <c r="U164" s="56"/>
      <c r="V164" s="56"/>
      <c r="W164" s="56"/>
    </row>
    <row r="165" spans="1:23" s="29" customFormat="1" x14ac:dyDescent="0.25">
      <c r="A165" s="32"/>
      <c r="B165" s="86" t="s">
        <v>499</v>
      </c>
      <c r="C165" s="86" t="s">
        <v>237</v>
      </c>
      <c r="D165" s="56" t="s">
        <v>238</v>
      </c>
      <c r="E165" s="86" t="s">
        <v>239</v>
      </c>
      <c r="F165" s="86"/>
      <c r="G165" s="132">
        <v>7.9</v>
      </c>
      <c r="H165" s="86">
        <v>66.099999999999994</v>
      </c>
      <c r="I165" s="86">
        <v>80.3</v>
      </c>
      <c r="J165" s="86">
        <v>2018</v>
      </c>
      <c r="K165" s="126"/>
      <c r="L165" s="126"/>
      <c r="M165" s="126" t="s">
        <v>693</v>
      </c>
      <c r="N165" s="126" t="s">
        <v>1059</v>
      </c>
      <c r="O165" s="126" t="s">
        <v>1381</v>
      </c>
      <c r="P165" s="113" t="s">
        <v>19</v>
      </c>
      <c r="Q165" s="113" t="s">
        <v>856</v>
      </c>
      <c r="R165" s="113" t="s">
        <v>1378</v>
      </c>
      <c r="S165" s="113" t="s">
        <v>1383</v>
      </c>
      <c r="T165" s="56" t="s">
        <v>508</v>
      </c>
      <c r="U165" s="56"/>
      <c r="V165" s="56"/>
      <c r="W165" s="56"/>
    </row>
    <row r="166" spans="1:23" s="29" customFormat="1" x14ac:dyDescent="0.25">
      <c r="A166" s="32"/>
      <c r="B166" s="86" t="s">
        <v>499</v>
      </c>
      <c r="C166" s="86" t="s">
        <v>237</v>
      </c>
      <c r="D166" s="56" t="s">
        <v>240</v>
      </c>
      <c r="E166" s="86" t="s">
        <v>241</v>
      </c>
      <c r="F166" s="86"/>
      <c r="G166" s="86"/>
      <c r="H166" s="86">
        <v>66.599999999999994</v>
      </c>
      <c r="I166" s="86"/>
      <c r="J166" s="86">
        <v>2018</v>
      </c>
      <c r="K166" s="126"/>
      <c r="L166" s="126"/>
      <c r="M166" s="126"/>
      <c r="N166" s="126"/>
      <c r="O166" s="126"/>
      <c r="P166" s="113" t="s">
        <v>514</v>
      </c>
      <c r="Q166" s="113" t="s">
        <v>846</v>
      </c>
      <c r="R166" s="113" t="s">
        <v>1585</v>
      </c>
      <c r="S166" s="113"/>
      <c r="T166" s="56"/>
      <c r="U166" s="56"/>
      <c r="V166" s="56"/>
      <c r="W166" s="56"/>
    </row>
    <row r="167" spans="1:23" s="29" customFormat="1" x14ac:dyDescent="0.25">
      <c r="B167" s="86" t="s">
        <v>499</v>
      </c>
      <c r="C167" s="86" t="s">
        <v>237</v>
      </c>
      <c r="D167" s="56" t="s">
        <v>242</v>
      </c>
      <c r="E167" s="86" t="s">
        <v>243</v>
      </c>
      <c r="F167" s="86"/>
      <c r="G167" s="86"/>
      <c r="H167" s="86">
        <v>63.2</v>
      </c>
      <c r="I167" s="86"/>
      <c r="J167" s="86">
        <v>2017</v>
      </c>
      <c r="K167" s="126" t="s">
        <v>713</v>
      </c>
      <c r="L167" s="126" t="s">
        <v>692</v>
      </c>
      <c r="M167" s="126" t="s">
        <v>693</v>
      </c>
      <c r="N167" s="126" t="s">
        <v>1060</v>
      </c>
      <c r="O167" s="126" t="s">
        <v>1061</v>
      </c>
      <c r="P167" s="113" t="s">
        <v>633</v>
      </c>
      <c r="Q167" s="113" t="s">
        <v>1058</v>
      </c>
      <c r="R167" s="113" t="s">
        <v>1038</v>
      </c>
      <c r="S167" s="113" t="s">
        <v>508</v>
      </c>
      <c r="T167" s="56" t="s">
        <v>508</v>
      </c>
      <c r="U167" s="56"/>
      <c r="V167" s="56"/>
      <c r="W167" s="56"/>
    </row>
    <row r="168" spans="1:23" s="29" customFormat="1" x14ac:dyDescent="0.25">
      <c r="B168" s="86" t="s">
        <v>499</v>
      </c>
      <c r="C168" s="86" t="s">
        <v>237</v>
      </c>
      <c r="D168" s="56" t="s">
        <v>244</v>
      </c>
      <c r="E168" s="86" t="s">
        <v>245</v>
      </c>
      <c r="F168" s="86"/>
      <c r="G168" s="86"/>
      <c r="H168" s="86">
        <v>70.7</v>
      </c>
      <c r="I168" s="86"/>
      <c r="J168" s="86">
        <v>2014</v>
      </c>
      <c r="K168" s="126"/>
      <c r="L168" s="126"/>
      <c r="M168" s="126"/>
      <c r="N168" s="126"/>
      <c r="O168" s="126"/>
      <c r="P168" s="113" t="s">
        <v>480</v>
      </c>
      <c r="Q168" s="113" t="s">
        <v>1053</v>
      </c>
      <c r="R168" s="113" t="s">
        <v>582</v>
      </c>
      <c r="S168" s="113" t="s">
        <v>508</v>
      </c>
      <c r="T168" s="56"/>
      <c r="U168" s="56"/>
      <c r="V168" s="56"/>
      <c r="W168" s="56"/>
    </row>
    <row r="169" spans="1:23" s="29" customFormat="1" x14ac:dyDescent="0.25">
      <c r="B169" s="86" t="s">
        <v>499</v>
      </c>
      <c r="C169" s="86" t="s">
        <v>237</v>
      </c>
      <c r="D169" s="56" t="s">
        <v>248</v>
      </c>
      <c r="E169" s="86" t="s">
        <v>249</v>
      </c>
      <c r="F169" s="86"/>
      <c r="G169" s="86"/>
      <c r="H169" s="86">
        <v>45.2</v>
      </c>
      <c r="I169" s="86"/>
      <c r="J169" s="86">
        <v>2013</v>
      </c>
      <c r="K169" s="126"/>
      <c r="L169" s="126"/>
      <c r="M169" s="126" t="s">
        <v>693</v>
      </c>
      <c r="N169" s="126"/>
      <c r="O169" s="126" t="s">
        <v>810</v>
      </c>
      <c r="P169" s="113" t="s">
        <v>611</v>
      </c>
      <c r="Q169" s="113" t="s">
        <v>856</v>
      </c>
      <c r="R169" s="113" t="s">
        <v>1018</v>
      </c>
      <c r="S169" s="113" t="s">
        <v>1064</v>
      </c>
      <c r="T169" s="56"/>
      <c r="U169" s="56"/>
      <c r="V169" s="56"/>
      <c r="W169" s="56"/>
    </row>
    <row r="170" spans="1:23" s="29" customFormat="1" x14ac:dyDescent="0.25">
      <c r="B170" s="86" t="s">
        <v>499</v>
      </c>
      <c r="C170" s="86" t="s">
        <v>237</v>
      </c>
      <c r="D170" s="56" t="s">
        <v>250</v>
      </c>
      <c r="E170" s="86" t="s">
        <v>251</v>
      </c>
      <c r="F170" s="86"/>
      <c r="G170" s="86"/>
      <c r="H170" s="86">
        <v>43.13</v>
      </c>
      <c r="I170" s="86"/>
      <c r="J170" s="86">
        <v>2011</v>
      </c>
      <c r="K170" s="126"/>
      <c r="L170" s="126"/>
      <c r="M170" s="126"/>
      <c r="N170" s="126"/>
      <c r="O170" s="126"/>
      <c r="P170" s="113" t="s">
        <v>480</v>
      </c>
      <c r="Q170" s="113" t="s">
        <v>1046</v>
      </c>
      <c r="R170" s="113" t="s">
        <v>480</v>
      </c>
      <c r="S170" s="113" t="s">
        <v>101</v>
      </c>
      <c r="T170" s="56"/>
      <c r="U170" s="56"/>
      <c r="V170" s="56"/>
      <c r="W170" s="56"/>
    </row>
    <row r="171" spans="1:23" s="29" customFormat="1" x14ac:dyDescent="0.25">
      <c r="B171" s="86" t="s">
        <v>499</v>
      </c>
      <c r="C171" s="86" t="s">
        <v>237</v>
      </c>
      <c r="D171" s="56" t="s">
        <v>252</v>
      </c>
      <c r="E171" s="86" t="s">
        <v>253</v>
      </c>
      <c r="F171" s="86"/>
      <c r="G171" s="86"/>
      <c r="H171" s="86">
        <v>2E-3</v>
      </c>
      <c r="I171" s="86"/>
      <c r="J171" s="86">
        <v>2007</v>
      </c>
      <c r="K171" s="126"/>
      <c r="L171" s="126"/>
      <c r="M171" s="126"/>
      <c r="N171" s="126"/>
      <c r="O171" s="126"/>
      <c r="P171" s="113" t="s">
        <v>480</v>
      </c>
      <c r="Q171" s="113" t="s">
        <v>1048</v>
      </c>
      <c r="R171" s="113" t="s">
        <v>480</v>
      </c>
      <c r="S171" s="113"/>
      <c r="T171" s="56"/>
      <c r="U171" s="56"/>
      <c r="V171" s="56"/>
      <c r="W171" s="56"/>
    </row>
    <row r="172" spans="1:23" s="29" customFormat="1" x14ac:dyDescent="0.25">
      <c r="B172" s="86" t="s">
        <v>499</v>
      </c>
      <c r="C172" s="86" t="s">
        <v>237</v>
      </c>
      <c r="D172" s="56" t="s">
        <v>246</v>
      </c>
      <c r="E172" s="86" t="s">
        <v>247</v>
      </c>
      <c r="F172" s="86"/>
      <c r="G172" s="86"/>
      <c r="H172" s="86">
        <v>20.9</v>
      </c>
      <c r="I172" s="86"/>
      <c r="J172" s="86">
        <v>2011</v>
      </c>
      <c r="K172" s="126"/>
      <c r="L172" s="126"/>
      <c r="M172" s="126" t="s">
        <v>693</v>
      </c>
      <c r="N172" s="126" t="s">
        <v>1069</v>
      </c>
      <c r="O172" s="138" t="s">
        <v>1070</v>
      </c>
      <c r="P172" s="113" t="s">
        <v>1067</v>
      </c>
      <c r="Q172" s="113" t="s">
        <v>1068</v>
      </c>
      <c r="R172" s="113" t="s">
        <v>26</v>
      </c>
      <c r="S172" s="113" t="s">
        <v>1071</v>
      </c>
      <c r="T172" s="56"/>
      <c r="U172" s="56"/>
      <c r="V172" s="56"/>
      <c r="W172" s="56"/>
    </row>
    <row r="173" spans="1:23" s="29" customFormat="1" x14ac:dyDescent="0.25">
      <c r="B173" s="86"/>
      <c r="C173" s="86"/>
      <c r="D173" s="56"/>
      <c r="E173" s="86"/>
      <c r="F173" s="86"/>
      <c r="G173" s="86"/>
      <c r="H173" s="86"/>
      <c r="I173" s="86"/>
      <c r="J173" s="86"/>
      <c r="K173" s="126"/>
      <c r="L173" s="126"/>
      <c r="M173" s="126"/>
      <c r="N173" s="126"/>
      <c r="O173" s="126"/>
      <c r="P173" s="113"/>
      <c r="Q173" s="113"/>
      <c r="R173" s="113"/>
      <c r="S173" s="113"/>
      <c r="T173" s="56"/>
      <c r="U173" s="56"/>
      <c r="V173" s="56"/>
      <c r="W173" s="56"/>
    </row>
    <row r="174" spans="1:23" s="29" customFormat="1" x14ac:dyDescent="0.25">
      <c r="B174" s="86"/>
      <c r="C174" s="86"/>
      <c r="D174" s="56"/>
      <c r="E174" s="86"/>
      <c r="F174" s="86"/>
      <c r="G174" s="86"/>
      <c r="H174" s="60"/>
      <c r="I174" s="60"/>
      <c r="J174" s="86"/>
      <c r="K174" s="126"/>
      <c r="L174" s="126"/>
      <c r="M174" s="126"/>
      <c r="N174" s="126"/>
      <c r="O174" s="126"/>
      <c r="P174" s="113"/>
      <c r="Q174" s="113"/>
      <c r="R174" s="113"/>
      <c r="S174" s="113"/>
      <c r="T174" s="56"/>
      <c r="U174" s="56"/>
      <c r="V174" s="56"/>
      <c r="W174" s="56"/>
    </row>
    <row r="175" spans="1:23" s="29" customFormat="1" ht="16.5" thickBot="1" x14ac:dyDescent="0.3">
      <c r="B175" s="86"/>
      <c r="C175" s="86"/>
      <c r="D175" s="56"/>
      <c r="E175" s="86"/>
      <c r="F175" s="86"/>
      <c r="G175" s="86"/>
      <c r="H175" s="86"/>
      <c r="I175" s="86"/>
      <c r="J175" s="86"/>
      <c r="K175" s="126"/>
      <c r="L175" s="126"/>
      <c r="M175" s="126"/>
      <c r="N175" s="126"/>
      <c r="O175" s="126"/>
      <c r="P175" s="113"/>
      <c r="Q175" s="113"/>
      <c r="R175" s="113"/>
      <c r="S175" s="113"/>
      <c r="T175" s="56"/>
      <c r="U175" s="56"/>
      <c r="V175" s="56"/>
      <c r="W175" s="56"/>
    </row>
    <row r="176" spans="1:23" s="29" customFormat="1" ht="16.5" thickTop="1" x14ac:dyDescent="0.25">
      <c r="B176" s="128"/>
      <c r="C176" s="128"/>
      <c r="D176" s="74"/>
      <c r="E176" s="128"/>
      <c r="F176" s="128"/>
      <c r="G176" s="128"/>
      <c r="H176" s="128"/>
      <c r="I176" s="128"/>
      <c r="J176" s="128"/>
      <c r="K176" s="129"/>
      <c r="L176" s="129"/>
      <c r="M176" s="129"/>
      <c r="N176" s="129"/>
      <c r="O176" s="129"/>
      <c r="P176" s="143"/>
      <c r="Q176" s="143"/>
      <c r="R176" s="143"/>
      <c r="S176" s="143"/>
      <c r="T176" s="56"/>
      <c r="U176" s="56"/>
      <c r="V176" s="56"/>
      <c r="W176" s="56"/>
    </row>
    <row r="177" spans="1:23" s="29" customFormat="1" x14ac:dyDescent="0.25">
      <c r="A177" s="32"/>
      <c r="B177" s="135" t="s">
        <v>499</v>
      </c>
      <c r="C177" s="135" t="s">
        <v>254</v>
      </c>
      <c r="D177" s="80" t="s">
        <v>255</v>
      </c>
      <c r="E177" s="135" t="s">
        <v>256</v>
      </c>
      <c r="F177" s="135"/>
      <c r="G177" s="135">
        <v>25.3</v>
      </c>
      <c r="H177" s="135">
        <v>30.4</v>
      </c>
      <c r="I177" s="135">
        <v>36</v>
      </c>
      <c r="J177" s="135">
        <v>2017</v>
      </c>
      <c r="K177" s="136" t="s">
        <v>691</v>
      </c>
      <c r="L177" s="136" t="s">
        <v>692</v>
      </c>
      <c r="M177" s="136" t="s">
        <v>693</v>
      </c>
      <c r="N177" s="136" t="s">
        <v>1236</v>
      </c>
      <c r="O177" s="136">
        <v>310</v>
      </c>
      <c r="P177" s="144" t="s">
        <v>1450</v>
      </c>
      <c r="Q177" s="144" t="s">
        <v>1235</v>
      </c>
      <c r="R177" s="144" t="s">
        <v>1476</v>
      </c>
      <c r="S177" s="144"/>
      <c r="T177" s="56"/>
      <c r="U177" s="56"/>
      <c r="V177" s="56"/>
      <c r="W177" s="56"/>
    </row>
    <row r="178" spans="1:23" s="29" customFormat="1" x14ac:dyDescent="0.25">
      <c r="A178" s="32"/>
      <c r="B178" s="86" t="s">
        <v>499</v>
      </c>
      <c r="C178" s="86" t="s">
        <v>254</v>
      </c>
      <c r="D178" s="56" t="s">
        <v>281</v>
      </c>
      <c r="E178" s="86" t="s">
        <v>282</v>
      </c>
      <c r="F178" s="86"/>
      <c r="G178" s="86">
        <v>60.9</v>
      </c>
      <c r="H178" s="132">
        <v>67</v>
      </c>
      <c r="I178" s="86">
        <v>73.099999999999994</v>
      </c>
      <c r="J178" s="86">
        <v>2010</v>
      </c>
      <c r="K178" s="126"/>
      <c r="L178" s="126"/>
      <c r="M178" s="126"/>
      <c r="N178" s="126" t="s">
        <v>1044</v>
      </c>
      <c r="O178" s="126"/>
      <c r="P178" s="113" t="s">
        <v>15</v>
      </c>
      <c r="Q178" s="113" t="s">
        <v>1053</v>
      </c>
      <c r="R178" s="113" t="s">
        <v>502</v>
      </c>
      <c r="S178" s="113" t="s">
        <v>508</v>
      </c>
      <c r="T178" s="56"/>
      <c r="U178" s="56"/>
      <c r="V178" s="56"/>
      <c r="W178" s="56"/>
    </row>
    <row r="179" spans="1:23" s="29" customFormat="1" x14ac:dyDescent="0.25">
      <c r="B179" s="86" t="s">
        <v>499</v>
      </c>
      <c r="C179" s="86" t="s">
        <v>254</v>
      </c>
      <c r="D179" s="56" t="s">
        <v>257</v>
      </c>
      <c r="E179" s="86" t="s">
        <v>258</v>
      </c>
      <c r="F179" s="86"/>
      <c r="G179" s="86"/>
      <c r="H179" s="86">
        <v>41.1</v>
      </c>
      <c r="I179" s="86"/>
      <c r="J179" s="86">
        <v>2015</v>
      </c>
      <c r="K179" s="126"/>
      <c r="L179" s="126"/>
      <c r="M179" s="126"/>
      <c r="N179" s="126"/>
      <c r="O179" s="126"/>
      <c r="P179" s="113" t="s">
        <v>480</v>
      </c>
      <c r="Q179" s="113" t="s">
        <v>1046</v>
      </c>
      <c r="R179" s="113" t="s">
        <v>1536</v>
      </c>
      <c r="S179" s="113" t="s">
        <v>1537</v>
      </c>
      <c r="T179" s="56"/>
      <c r="U179" s="56"/>
      <c r="V179" s="56"/>
      <c r="W179" s="56"/>
    </row>
    <row r="180" spans="1:23" s="29" customFormat="1" x14ac:dyDescent="0.25">
      <c r="B180" s="86" t="s">
        <v>499</v>
      </c>
      <c r="C180" s="86" t="s">
        <v>254</v>
      </c>
      <c r="D180" s="56" t="s">
        <v>259</v>
      </c>
      <c r="E180" s="86" t="s">
        <v>260</v>
      </c>
      <c r="F180" s="86"/>
      <c r="G180" s="86"/>
      <c r="H180" s="86">
        <v>67</v>
      </c>
      <c r="I180" s="86"/>
      <c r="J180" s="86">
        <v>2017</v>
      </c>
      <c r="K180" s="126"/>
      <c r="L180" s="126"/>
      <c r="M180" s="126"/>
      <c r="N180" s="126"/>
      <c r="O180" s="126"/>
      <c r="P180" s="113" t="s">
        <v>480</v>
      </c>
      <c r="Q180" s="113" t="s">
        <v>1046</v>
      </c>
      <c r="R180" s="113" t="s">
        <v>1262</v>
      </c>
      <c r="S180" s="113" t="s">
        <v>1263</v>
      </c>
      <c r="T180" s="56"/>
      <c r="U180" s="56"/>
      <c r="V180" s="56"/>
      <c r="W180" s="56"/>
    </row>
    <row r="181" spans="1:23" s="29" customFormat="1" x14ac:dyDescent="0.25">
      <c r="A181" s="32"/>
      <c r="B181" s="86" t="s">
        <v>499</v>
      </c>
      <c r="C181" s="86" t="s">
        <v>254</v>
      </c>
      <c r="D181" s="56" t="s">
        <v>274</v>
      </c>
      <c r="E181" s="86" t="s">
        <v>1009</v>
      </c>
      <c r="F181" s="86"/>
      <c r="G181" s="86"/>
      <c r="H181" s="86">
        <v>87.4</v>
      </c>
      <c r="I181" s="86"/>
      <c r="J181" s="86">
        <v>2013</v>
      </c>
      <c r="K181" s="126"/>
      <c r="L181" s="126"/>
      <c r="M181" s="126" t="s">
        <v>693</v>
      </c>
      <c r="N181" s="126" t="s">
        <v>1538</v>
      </c>
      <c r="O181" s="126" t="s">
        <v>1539</v>
      </c>
      <c r="P181" s="113" t="s">
        <v>1540</v>
      </c>
      <c r="Q181" s="113" t="s">
        <v>1053</v>
      </c>
      <c r="R181" s="113" t="s">
        <v>1541</v>
      </c>
      <c r="S181" s="113" t="s">
        <v>1542</v>
      </c>
      <c r="T181" s="56"/>
      <c r="U181" s="56"/>
      <c r="V181" s="56"/>
      <c r="W181" s="56"/>
    </row>
    <row r="182" spans="1:23" s="29" customFormat="1" x14ac:dyDescent="0.25">
      <c r="B182" s="86" t="s">
        <v>499</v>
      </c>
      <c r="C182" s="86" t="s">
        <v>254</v>
      </c>
      <c r="D182" s="56" t="s">
        <v>261</v>
      </c>
      <c r="E182" s="86" t="s">
        <v>262</v>
      </c>
      <c r="F182" s="86"/>
      <c r="G182" s="86"/>
      <c r="H182" s="86">
        <v>63.5</v>
      </c>
      <c r="I182" s="86"/>
      <c r="J182" s="86">
        <v>2014</v>
      </c>
      <c r="K182" s="126"/>
      <c r="L182" s="126"/>
      <c r="M182" s="126"/>
      <c r="N182" s="126" t="s">
        <v>1072</v>
      </c>
      <c r="O182" s="126"/>
      <c r="P182" s="113" t="s">
        <v>480</v>
      </c>
      <c r="Q182" s="113" t="s">
        <v>1053</v>
      </c>
      <c r="R182" s="145" t="s">
        <v>1076</v>
      </c>
      <c r="S182" s="145" t="s">
        <v>1073</v>
      </c>
      <c r="T182" s="56"/>
      <c r="U182" s="56"/>
      <c r="V182" s="56"/>
      <c r="W182" s="56"/>
    </row>
    <row r="183" spans="1:23" s="29" customFormat="1" x14ac:dyDescent="0.25">
      <c r="A183" s="32"/>
      <c r="B183" s="86" t="s">
        <v>499</v>
      </c>
      <c r="C183" s="86" t="s">
        <v>254</v>
      </c>
      <c r="D183" s="56" t="s">
        <v>263</v>
      </c>
      <c r="E183" s="86" t="s">
        <v>264</v>
      </c>
      <c r="F183" s="86"/>
      <c r="G183" s="86"/>
      <c r="H183" s="86">
        <v>40</v>
      </c>
      <c r="I183" s="86"/>
      <c r="J183" s="86">
        <v>2017</v>
      </c>
      <c r="K183" s="126" t="s">
        <v>702</v>
      </c>
      <c r="L183" s="126"/>
      <c r="M183" s="126"/>
      <c r="N183" s="126"/>
      <c r="O183" s="126"/>
      <c r="P183" s="113" t="s">
        <v>480</v>
      </c>
      <c r="Q183" s="113" t="s">
        <v>1046</v>
      </c>
      <c r="R183" s="113" t="s">
        <v>1077</v>
      </c>
      <c r="S183" s="113" t="s">
        <v>1227</v>
      </c>
      <c r="T183" s="56"/>
      <c r="U183" s="56"/>
      <c r="V183" s="56"/>
      <c r="W183" s="56"/>
    </row>
    <row r="184" spans="1:23" s="29" customFormat="1" ht="15.75" customHeight="1" x14ac:dyDescent="0.25">
      <c r="A184" s="32"/>
      <c r="B184" s="86" t="s">
        <v>499</v>
      </c>
      <c r="C184" s="86" t="s">
        <v>254</v>
      </c>
      <c r="D184" s="56" t="s">
        <v>265</v>
      </c>
      <c r="E184" s="86" t="s">
        <v>496</v>
      </c>
      <c r="F184" s="86"/>
      <c r="G184" s="86"/>
      <c r="H184" s="86">
        <v>48.4</v>
      </c>
      <c r="I184" s="86"/>
      <c r="J184" s="125" t="s">
        <v>1156</v>
      </c>
      <c r="K184" s="126"/>
      <c r="L184" s="126"/>
      <c r="M184" s="126" t="s">
        <v>693</v>
      </c>
      <c r="N184" s="126"/>
      <c r="O184" s="126" t="s">
        <v>1157</v>
      </c>
      <c r="P184" s="113" t="s">
        <v>643</v>
      </c>
      <c r="Q184" s="113" t="s">
        <v>1053</v>
      </c>
      <c r="R184" s="113" t="s">
        <v>1158</v>
      </c>
      <c r="S184" s="113" t="s">
        <v>508</v>
      </c>
      <c r="T184" s="56"/>
      <c r="U184" s="56"/>
      <c r="V184" s="56"/>
      <c r="W184" s="56"/>
    </row>
    <row r="185" spans="1:23" s="29" customFormat="1" x14ac:dyDescent="0.25">
      <c r="B185" s="86" t="s">
        <v>499</v>
      </c>
      <c r="C185" s="86" t="s">
        <v>254</v>
      </c>
      <c r="D185" s="56" t="s">
        <v>268</v>
      </c>
      <c r="E185" s="86" t="s">
        <v>269</v>
      </c>
      <c r="F185" s="86"/>
      <c r="G185" s="86"/>
      <c r="H185" s="86">
        <v>67.099999999999994</v>
      </c>
      <c r="I185" s="86"/>
      <c r="J185" s="130" t="s">
        <v>503</v>
      </c>
      <c r="K185" s="131"/>
      <c r="L185" s="131"/>
      <c r="M185" s="131"/>
      <c r="N185" s="131" t="s">
        <v>1044</v>
      </c>
      <c r="O185" s="131"/>
      <c r="P185" s="113" t="s">
        <v>15</v>
      </c>
      <c r="Q185" s="113" t="s">
        <v>1053</v>
      </c>
      <c r="R185" s="113" t="s">
        <v>502</v>
      </c>
      <c r="S185" s="113" t="s">
        <v>508</v>
      </c>
      <c r="T185" s="56"/>
      <c r="U185" s="56"/>
      <c r="V185" s="56"/>
      <c r="W185" s="56"/>
    </row>
    <row r="186" spans="1:23" s="29" customFormat="1" x14ac:dyDescent="0.25">
      <c r="A186" s="32"/>
      <c r="B186" s="86" t="s">
        <v>499</v>
      </c>
      <c r="C186" s="86" t="s">
        <v>254</v>
      </c>
      <c r="D186" s="56" t="s">
        <v>270</v>
      </c>
      <c r="E186" s="86" t="s">
        <v>271</v>
      </c>
      <c r="F186" s="86"/>
      <c r="G186" s="86"/>
      <c r="H186" s="132">
        <v>56</v>
      </c>
      <c r="I186" s="86"/>
      <c r="J186" s="86">
        <v>2017</v>
      </c>
      <c r="K186" s="126" t="s">
        <v>713</v>
      </c>
      <c r="L186" s="126" t="s">
        <v>696</v>
      </c>
      <c r="M186" s="126" t="s">
        <v>693</v>
      </c>
      <c r="N186" s="113" t="s">
        <v>1265</v>
      </c>
      <c r="O186" s="126" t="s">
        <v>1266</v>
      </c>
      <c r="P186" s="113" t="s">
        <v>19</v>
      </c>
      <c r="Q186" s="113" t="s">
        <v>845</v>
      </c>
      <c r="R186" s="113" t="s">
        <v>1329</v>
      </c>
      <c r="S186" s="113" t="s">
        <v>508</v>
      </c>
      <c r="T186" s="56"/>
      <c r="U186" s="56"/>
      <c r="V186" s="56"/>
      <c r="W186" s="56"/>
    </row>
    <row r="187" spans="1:23" s="29" customFormat="1" x14ac:dyDescent="0.25">
      <c r="A187" s="32"/>
      <c r="B187" s="86" t="s">
        <v>499</v>
      </c>
      <c r="C187" s="86" t="s">
        <v>254</v>
      </c>
      <c r="D187" s="56" t="s">
        <v>272</v>
      </c>
      <c r="E187" s="86" t="s">
        <v>273</v>
      </c>
      <c r="F187" s="86"/>
      <c r="G187" s="86">
        <v>28.05</v>
      </c>
      <c r="H187" s="86"/>
      <c r="I187" s="86">
        <v>79.599999999999994</v>
      </c>
      <c r="J187" s="86">
        <v>2015</v>
      </c>
      <c r="K187" s="146" t="s">
        <v>695</v>
      </c>
      <c r="L187" s="146" t="s">
        <v>696</v>
      </c>
      <c r="M187" s="146" t="s">
        <v>693</v>
      </c>
      <c r="N187" s="146" t="s">
        <v>811</v>
      </c>
      <c r="O187" s="146" t="s">
        <v>812</v>
      </c>
      <c r="P187" s="145" t="s">
        <v>652</v>
      </c>
      <c r="Q187" s="145" t="s">
        <v>845</v>
      </c>
      <c r="R187" s="142" t="s">
        <v>913</v>
      </c>
      <c r="S187" s="113" t="s">
        <v>1603</v>
      </c>
      <c r="T187" s="56"/>
      <c r="U187" s="56"/>
      <c r="V187" s="56"/>
      <c r="W187" s="56"/>
    </row>
    <row r="188" spans="1:23" s="29" customFormat="1" x14ac:dyDescent="0.25">
      <c r="A188" s="32"/>
      <c r="B188" s="86" t="s">
        <v>499</v>
      </c>
      <c r="C188" s="86" t="s">
        <v>254</v>
      </c>
      <c r="D188" s="56" t="s">
        <v>275</v>
      </c>
      <c r="E188" s="86" t="s">
        <v>276</v>
      </c>
      <c r="F188" s="86"/>
      <c r="G188" s="86"/>
      <c r="H188" s="86">
        <v>44.3</v>
      </c>
      <c r="I188" s="86"/>
      <c r="J188" s="86" t="s">
        <v>1469</v>
      </c>
      <c r="K188" s="126"/>
      <c r="L188" s="126"/>
      <c r="M188" s="126"/>
      <c r="N188" s="113" t="s">
        <v>1468</v>
      </c>
      <c r="O188" s="126">
        <v>3679</v>
      </c>
      <c r="P188" s="113" t="s">
        <v>643</v>
      </c>
      <c r="Q188" s="113" t="s">
        <v>1053</v>
      </c>
      <c r="R188" s="113" t="s">
        <v>1466</v>
      </c>
      <c r="S188" s="113" t="s">
        <v>1467</v>
      </c>
      <c r="T188" s="56"/>
      <c r="U188" s="56"/>
      <c r="V188" s="56"/>
      <c r="W188" s="56"/>
    </row>
    <row r="189" spans="1:23" s="29" customFormat="1" ht="15.75" customHeight="1" x14ac:dyDescent="0.25">
      <c r="B189" s="86" t="s">
        <v>499</v>
      </c>
      <c r="C189" s="86" t="s">
        <v>254</v>
      </c>
      <c r="D189" s="56" t="s">
        <v>277</v>
      </c>
      <c r="E189" s="86" t="s">
        <v>278</v>
      </c>
      <c r="F189" s="86"/>
      <c r="G189" s="86">
        <v>10.9</v>
      </c>
      <c r="H189" s="86">
        <v>53.8</v>
      </c>
      <c r="I189" s="86">
        <v>87.4</v>
      </c>
      <c r="J189" s="125" t="s">
        <v>890</v>
      </c>
      <c r="K189" s="126" t="s">
        <v>713</v>
      </c>
      <c r="L189" s="126" t="s">
        <v>692</v>
      </c>
      <c r="M189" s="126" t="s">
        <v>700</v>
      </c>
      <c r="N189" s="126" t="s">
        <v>1078</v>
      </c>
      <c r="O189" s="138">
        <v>3010</v>
      </c>
      <c r="P189" s="113" t="s">
        <v>15</v>
      </c>
      <c r="Q189" s="113" t="s">
        <v>1079</v>
      </c>
      <c r="R189" s="134" t="s">
        <v>921</v>
      </c>
      <c r="S189" s="113"/>
      <c r="T189" s="56"/>
      <c r="U189" s="56"/>
      <c r="V189" s="56"/>
      <c r="W189" s="56"/>
    </row>
    <row r="190" spans="1:23" s="29" customFormat="1" x14ac:dyDescent="0.25">
      <c r="B190" s="86"/>
      <c r="C190" s="86"/>
      <c r="D190" s="56"/>
      <c r="E190" s="86"/>
      <c r="F190" s="86"/>
      <c r="G190" s="86"/>
      <c r="H190" s="86"/>
      <c r="I190" s="86"/>
      <c r="J190" s="86"/>
      <c r="K190" s="126"/>
      <c r="L190" s="126"/>
      <c r="M190" s="126"/>
      <c r="N190" s="126"/>
      <c r="O190" s="126"/>
      <c r="P190" s="56"/>
      <c r="Q190" s="56"/>
      <c r="R190" s="56"/>
      <c r="S190" s="56"/>
      <c r="T190" s="56"/>
      <c r="U190" s="56"/>
      <c r="V190" s="56"/>
      <c r="W190" s="56"/>
    </row>
    <row r="191" spans="1:23" s="29" customFormat="1" x14ac:dyDescent="0.25">
      <c r="B191" s="86"/>
      <c r="C191" s="86"/>
      <c r="D191" s="56"/>
      <c r="E191" s="86"/>
      <c r="F191" s="86"/>
      <c r="G191" s="86"/>
      <c r="H191" s="86"/>
      <c r="I191" s="86"/>
      <c r="J191" s="86"/>
      <c r="K191" s="126"/>
      <c r="L191" s="126"/>
      <c r="M191" s="126"/>
      <c r="N191" s="126"/>
      <c r="O191" s="126"/>
      <c r="P191" s="56"/>
      <c r="Q191" s="56"/>
      <c r="R191" s="56"/>
      <c r="S191" s="56"/>
      <c r="T191" s="56"/>
      <c r="U191" s="56"/>
      <c r="V191" s="56"/>
      <c r="W191" s="56"/>
    </row>
    <row r="192" spans="1:23" s="29" customFormat="1" x14ac:dyDescent="0.25">
      <c r="B192" s="86" t="s">
        <v>499</v>
      </c>
      <c r="C192" s="86" t="s">
        <v>254</v>
      </c>
      <c r="D192" s="56" t="s">
        <v>279</v>
      </c>
      <c r="E192" s="86" t="s">
        <v>280</v>
      </c>
      <c r="F192" s="86"/>
      <c r="G192" s="86"/>
      <c r="H192" s="69" t="s">
        <v>1645</v>
      </c>
      <c r="I192" s="86"/>
      <c r="J192" s="86"/>
      <c r="K192" s="126"/>
      <c r="L192" s="126"/>
      <c r="M192" s="126"/>
      <c r="N192" s="126"/>
      <c r="O192" s="126"/>
      <c r="P192" s="56"/>
      <c r="Q192" s="56"/>
      <c r="R192" s="56"/>
      <c r="S192" s="56"/>
      <c r="T192" s="56"/>
      <c r="U192" s="56"/>
      <c r="V192" s="56"/>
      <c r="W192" s="56"/>
    </row>
    <row r="193" spans="1:23" s="29" customFormat="1" x14ac:dyDescent="0.25">
      <c r="B193" s="86" t="s">
        <v>499</v>
      </c>
      <c r="C193" s="86" t="s">
        <v>254</v>
      </c>
      <c r="D193" s="56" t="s">
        <v>283</v>
      </c>
      <c r="E193" s="86" t="s">
        <v>942</v>
      </c>
      <c r="F193" s="86"/>
      <c r="G193" s="86"/>
      <c r="H193" s="69" t="s">
        <v>1645</v>
      </c>
      <c r="I193" s="86"/>
      <c r="J193" s="86"/>
      <c r="K193" s="126"/>
      <c r="L193" s="126"/>
      <c r="M193" s="126"/>
      <c r="N193" s="126"/>
      <c r="O193" s="126"/>
      <c r="P193" s="56"/>
      <c r="Q193" s="56"/>
      <c r="R193" s="56"/>
      <c r="S193" s="56"/>
      <c r="T193" s="56"/>
      <c r="U193" s="56"/>
      <c r="V193" s="56"/>
      <c r="W193" s="56"/>
    </row>
    <row r="194" spans="1:23" s="29" customFormat="1" x14ac:dyDescent="0.25">
      <c r="B194" s="86" t="s">
        <v>499</v>
      </c>
      <c r="C194" s="86" t="s">
        <v>254</v>
      </c>
      <c r="D194" s="56" t="s">
        <v>266</v>
      </c>
      <c r="E194" s="86" t="s">
        <v>267</v>
      </c>
      <c r="F194" s="86"/>
      <c r="G194" s="86"/>
      <c r="H194" s="69" t="s">
        <v>1645</v>
      </c>
      <c r="I194" s="86"/>
      <c r="J194" s="86"/>
      <c r="K194" s="126"/>
      <c r="L194" s="126"/>
      <c r="M194" s="126"/>
      <c r="N194" s="126"/>
      <c r="O194" s="126"/>
      <c r="P194" s="56"/>
      <c r="Q194" s="56"/>
      <c r="R194" s="56"/>
      <c r="S194" s="56"/>
      <c r="T194" s="56"/>
      <c r="U194" s="56"/>
      <c r="V194" s="56"/>
      <c r="W194" s="56"/>
    </row>
    <row r="195" spans="1:23" s="29" customFormat="1" x14ac:dyDescent="0.25">
      <c r="B195" s="86" t="s">
        <v>499</v>
      </c>
      <c r="C195" s="86" t="s">
        <v>254</v>
      </c>
      <c r="D195" s="56" t="s">
        <v>284</v>
      </c>
      <c r="E195" s="86" t="s">
        <v>285</v>
      </c>
      <c r="F195" s="86"/>
      <c r="G195" s="86"/>
      <c r="H195" s="69" t="s">
        <v>1645</v>
      </c>
      <c r="I195" s="86"/>
      <c r="J195" s="86"/>
      <c r="K195" s="126"/>
      <c r="L195" s="126"/>
      <c r="M195" s="126"/>
      <c r="N195" s="126"/>
      <c r="O195" s="126"/>
      <c r="P195" s="56"/>
      <c r="Q195" s="56"/>
      <c r="R195" s="56"/>
      <c r="S195" s="56"/>
      <c r="T195" s="56"/>
      <c r="U195" s="56"/>
      <c r="V195" s="56"/>
      <c r="W195" s="56"/>
    </row>
    <row r="196" spans="1:23" s="29" customFormat="1" x14ac:dyDescent="0.25">
      <c r="B196" s="86" t="s">
        <v>499</v>
      </c>
      <c r="C196" s="86" t="s">
        <v>254</v>
      </c>
      <c r="D196" s="56" t="s">
        <v>286</v>
      </c>
      <c r="E196" s="86" t="s">
        <v>287</v>
      </c>
      <c r="F196" s="86"/>
      <c r="G196" s="86"/>
      <c r="H196" s="69" t="s">
        <v>1645</v>
      </c>
      <c r="I196" s="86"/>
      <c r="J196" s="86"/>
      <c r="K196" s="126"/>
      <c r="L196" s="126"/>
      <c r="M196" s="126"/>
      <c r="N196" s="126"/>
      <c r="O196" s="126"/>
      <c r="P196" s="56"/>
      <c r="Q196" s="56"/>
      <c r="R196" s="56"/>
      <c r="S196" s="56"/>
      <c r="T196" s="56"/>
      <c r="U196" s="56"/>
      <c r="V196" s="56"/>
      <c r="W196" s="56"/>
    </row>
    <row r="197" spans="1:23" s="29" customFormat="1" x14ac:dyDescent="0.25">
      <c r="B197" s="86" t="s">
        <v>499</v>
      </c>
      <c r="C197" s="86" t="s">
        <v>254</v>
      </c>
      <c r="D197" s="56" t="s">
        <v>288</v>
      </c>
      <c r="E197" s="86" t="s">
        <v>289</v>
      </c>
      <c r="F197" s="86"/>
      <c r="G197" s="86"/>
      <c r="H197" s="69" t="s">
        <v>1645</v>
      </c>
      <c r="I197" s="86"/>
      <c r="J197" s="86"/>
      <c r="K197" s="126"/>
      <c r="L197" s="126"/>
      <c r="M197" s="126"/>
      <c r="N197" s="126"/>
      <c r="O197" s="126"/>
      <c r="P197" s="56"/>
      <c r="Q197" s="56"/>
      <c r="R197" s="56"/>
      <c r="S197" s="56"/>
      <c r="T197" s="56"/>
      <c r="U197" s="56"/>
      <c r="V197" s="56"/>
      <c r="W197" s="56"/>
    </row>
    <row r="198" spans="1:23" s="29" customFormat="1" x14ac:dyDescent="0.25">
      <c r="B198" s="86"/>
      <c r="C198" s="86"/>
      <c r="D198" s="56"/>
      <c r="E198" s="86"/>
      <c r="F198" s="86"/>
      <c r="G198" s="86"/>
      <c r="H198" s="86"/>
      <c r="I198" s="86"/>
      <c r="J198" s="86"/>
      <c r="K198" s="126"/>
      <c r="L198" s="126"/>
      <c r="M198" s="126"/>
      <c r="N198" s="126"/>
      <c r="O198" s="126"/>
      <c r="P198" s="56"/>
      <c r="Q198" s="56"/>
      <c r="R198" s="56"/>
      <c r="S198" s="56"/>
      <c r="T198" s="56"/>
      <c r="U198" s="56"/>
      <c r="V198" s="56"/>
      <c r="W198" s="56"/>
    </row>
    <row r="199" spans="1:23" s="29" customFormat="1" x14ac:dyDescent="0.25">
      <c r="B199" s="86"/>
      <c r="C199" s="86"/>
      <c r="D199" s="56"/>
      <c r="E199" s="86"/>
      <c r="F199" s="86"/>
      <c r="G199" s="86"/>
      <c r="H199" s="86"/>
      <c r="I199" s="86"/>
      <c r="J199" s="86"/>
      <c r="K199" s="126"/>
      <c r="L199" s="126"/>
      <c r="M199" s="126"/>
      <c r="N199" s="126"/>
      <c r="O199" s="126"/>
      <c r="P199" s="56"/>
      <c r="Q199" s="56"/>
      <c r="R199" s="56"/>
      <c r="S199" s="56"/>
      <c r="T199" s="56"/>
      <c r="U199" s="56"/>
      <c r="V199" s="56"/>
      <c r="W199" s="56"/>
    </row>
    <row r="200" spans="1:23" s="29" customFormat="1" ht="16.5" thickBot="1" x14ac:dyDescent="0.3">
      <c r="B200" s="86"/>
      <c r="C200" s="86"/>
      <c r="D200" s="56"/>
      <c r="E200" s="86"/>
      <c r="F200" s="86"/>
      <c r="G200" s="86"/>
      <c r="H200" s="86"/>
      <c r="I200" s="86"/>
      <c r="J200" s="86"/>
      <c r="K200" s="126"/>
      <c r="L200" s="126"/>
      <c r="M200" s="126"/>
      <c r="N200" s="126"/>
      <c r="O200" s="126"/>
      <c r="P200" s="56"/>
      <c r="Q200" s="56"/>
      <c r="R200" s="56"/>
      <c r="S200" s="56"/>
      <c r="T200" s="56"/>
      <c r="U200" s="56"/>
      <c r="V200" s="56"/>
      <c r="W200" s="56"/>
    </row>
    <row r="201" spans="1:23" s="29" customFormat="1" ht="16.5" thickTop="1" x14ac:dyDescent="0.25">
      <c r="B201" s="128"/>
      <c r="C201" s="128"/>
      <c r="D201" s="74"/>
      <c r="E201" s="128"/>
      <c r="F201" s="128"/>
      <c r="G201" s="128"/>
      <c r="H201" s="128"/>
      <c r="I201" s="128"/>
      <c r="J201" s="128"/>
      <c r="K201" s="129"/>
      <c r="L201" s="129"/>
      <c r="M201" s="129"/>
      <c r="N201" s="129"/>
      <c r="O201" s="129"/>
      <c r="P201" s="74"/>
      <c r="Q201" s="74"/>
      <c r="R201" s="74"/>
      <c r="S201" s="74"/>
      <c r="T201" s="56"/>
      <c r="U201" s="56"/>
      <c r="V201" s="56"/>
      <c r="W201" s="56"/>
    </row>
    <row r="202" spans="1:23" s="29" customFormat="1" x14ac:dyDescent="0.25">
      <c r="A202" s="32"/>
      <c r="B202" s="86" t="s">
        <v>499</v>
      </c>
      <c r="C202" s="86" t="s">
        <v>523</v>
      </c>
      <c r="D202" s="56" t="s">
        <v>290</v>
      </c>
      <c r="E202" s="86" t="s">
        <v>291</v>
      </c>
      <c r="F202" s="86"/>
      <c r="G202" s="86">
        <v>28.5</v>
      </c>
      <c r="H202" s="86">
        <v>31.2</v>
      </c>
      <c r="I202" s="86">
        <v>33.9</v>
      </c>
      <c r="J202" s="86">
        <v>2012</v>
      </c>
      <c r="K202" s="126" t="s">
        <v>721</v>
      </c>
      <c r="L202" s="126" t="s">
        <v>692</v>
      </c>
      <c r="M202" s="126"/>
      <c r="N202" s="126" t="s">
        <v>1080</v>
      </c>
      <c r="O202" s="138" t="s">
        <v>815</v>
      </c>
      <c r="P202" s="113" t="s">
        <v>19</v>
      </c>
      <c r="Q202" s="113" t="s">
        <v>1058</v>
      </c>
      <c r="R202" s="113" t="s">
        <v>548</v>
      </c>
      <c r="S202" s="113" t="s">
        <v>508</v>
      </c>
      <c r="T202" s="56"/>
      <c r="U202" s="56"/>
      <c r="V202" s="56"/>
      <c r="W202" s="56"/>
    </row>
    <row r="203" spans="1:23" s="29" customFormat="1" x14ac:dyDescent="0.25">
      <c r="B203" s="86" t="s">
        <v>499</v>
      </c>
      <c r="C203" s="86" t="s">
        <v>523</v>
      </c>
      <c r="D203" s="56" t="s">
        <v>306</v>
      </c>
      <c r="E203" s="86" t="s">
        <v>307</v>
      </c>
      <c r="F203" s="86"/>
      <c r="G203" s="86">
        <v>37</v>
      </c>
      <c r="H203" s="86">
        <v>45</v>
      </c>
      <c r="I203" s="86">
        <v>54</v>
      </c>
      <c r="J203" s="130" t="s">
        <v>1317</v>
      </c>
      <c r="K203" s="131" t="s">
        <v>702</v>
      </c>
      <c r="L203" s="131"/>
      <c r="M203" s="131" t="s">
        <v>693</v>
      </c>
      <c r="N203" s="131" t="s">
        <v>1082</v>
      </c>
      <c r="O203" s="131" t="s">
        <v>1081</v>
      </c>
      <c r="P203" s="113" t="s">
        <v>15</v>
      </c>
      <c r="Q203" s="113" t="s">
        <v>1083</v>
      </c>
      <c r="R203" s="113" t="s">
        <v>880</v>
      </c>
      <c r="S203" s="113" t="s">
        <v>1084</v>
      </c>
      <c r="T203" s="56"/>
      <c r="U203" s="56"/>
      <c r="V203" s="56"/>
      <c r="W203" s="56"/>
    </row>
    <row r="204" spans="1:23" s="29" customFormat="1" ht="15.75" customHeight="1" x14ac:dyDescent="0.25">
      <c r="B204" s="86" t="s">
        <v>499</v>
      </c>
      <c r="C204" s="86" t="s">
        <v>523</v>
      </c>
      <c r="D204" s="56" t="s">
        <v>313</v>
      </c>
      <c r="E204" s="86" t="s">
        <v>314</v>
      </c>
      <c r="F204" s="86"/>
      <c r="G204" s="86"/>
      <c r="H204" s="86">
        <v>36.5</v>
      </c>
      <c r="I204" s="86"/>
      <c r="J204" s="86" t="s">
        <v>1316</v>
      </c>
      <c r="K204" s="126"/>
      <c r="L204" s="126"/>
      <c r="M204" s="126"/>
      <c r="N204" s="126" t="s">
        <v>844</v>
      </c>
      <c r="O204" s="126"/>
      <c r="P204" s="113" t="s">
        <v>15</v>
      </c>
      <c r="Q204" s="113" t="s">
        <v>1318</v>
      </c>
      <c r="R204" s="113" t="s">
        <v>1192</v>
      </c>
      <c r="S204" s="134" t="s">
        <v>1319</v>
      </c>
      <c r="T204" s="56"/>
      <c r="U204" s="56"/>
      <c r="V204" s="56"/>
      <c r="W204" s="56"/>
    </row>
    <row r="205" spans="1:23" s="29" customFormat="1" x14ac:dyDescent="0.25">
      <c r="B205" s="86"/>
      <c r="C205" s="86"/>
      <c r="D205" s="56"/>
      <c r="E205" s="86"/>
      <c r="F205" s="86"/>
      <c r="G205" s="86"/>
      <c r="H205" s="86"/>
      <c r="I205" s="86"/>
      <c r="J205" s="86"/>
      <c r="K205" s="126"/>
      <c r="L205" s="126"/>
      <c r="M205" s="126"/>
      <c r="N205" s="126"/>
      <c r="O205" s="126"/>
      <c r="P205" s="113"/>
      <c r="Q205" s="113"/>
      <c r="R205" s="113"/>
      <c r="S205" s="113"/>
      <c r="T205" s="56"/>
      <c r="U205" s="56"/>
      <c r="V205" s="56"/>
      <c r="W205" s="56"/>
    </row>
    <row r="206" spans="1:23" s="29" customFormat="1" ht="16.5" thickBot="1" x14ac:dyDescent="0.3">
      <c r="B206" s="147"/>
      <c r="C206" s="147"/>
      <c r="D206" s="72"/>
      <c r="E206" s="147"/>
      <c r="F206" s="147"/>
      <c r="G206" s="147"/>
      <c r="H206" s="147"/>
      <c r="I206" s="147"/>
      <c r="J206" s="147"/>
      <c r="K206" s="148"/>
      <c r="L206" s="148"/>
      <c r="M206" s="148"/>
      <c r="N206" s="148"/>
      <c r="O206" s="148"/>
      <c r="P206" s="149"/>
      <c r="Q206" s="149"/>
      <c r="R206" s="149"/>
      <c r="S206" s="149"/>
      <c r="T206" s="56"/>
      <c r="U206" s="56"/>
      <c r="V206" s="56"/>
      <c r="W206" s="56"/>
    </row>
    <row r="207" spans="1:23" s="29" customFormat="1" ht="16.5" thickTop="1" x14ac:dyDescent="0.25">
      <c r="B207" s="86"/>
      <c r="C207" s="86"/>
      <c r="D207" s="56"/>
      <c r="E207" s="86"/>
      <c r="F207" s="86"/>
      <c r="G207" s="86"/>
      <c r="H207" s="86"/>
      <c r="I207" s="86"/>
      <c r="J207" s="86"/>
      <c r="K207" s="126"/>
      <c r="L207" s="126"/>
      <c r="M207" s="126"/>
      <c r="N207" s="126"/>
      <c r="O207" s="126"/>
      <c r="P207" s="113"/>
      <c r="Q207" s="113"/>
      <c r="R207" s="113"/>
      <c r="S207" s="113"/>
      <c r="T207" s="56"/>
      <c r="U207" s="56"/>
      <c r="V207" s="56"/>
      <c r="W207" s="56"/>
    </row>
    <row r="208" spans="1:23" s="29" customFormat="1" x14ac:dyDescent="0.25">
      <c r="B208" s="86" t="s">
        <v>499</v>
      </c>
      <c r="C208" s="86" t="s">
        <v>524</v>
      </c>
      <c r="D208" s="56" t="s">
        <v>304</v>
      </c>
      <c r="E208" s="86" t="s">
        <v>305</v>
      </c>
      <c r="F208" s="86"/>
      <c r="G208" s="86"/>
      <c r="H208" s="86">
        <v>0</v>
      </c>
      <c r="I208" s="86"/>
      <c r="J208" s="86">
        <v>2018</v>
      </c>
      <c r="K208" s="126"/>
      <c r="L208" s="126"/>
      <c r="M208" s="126"/>
      <c r="N208" s="126"/>
      <c r="O208" s="126"/>
      <c r="P208" s="111" t="s">
        <v>528</v>
      </c>
      <c r="Q208" s="56"/>
      <c r="R208" s="111" t="s">
        <v>1568</v>
      </c>
      <c r="S208" s="56"/>
      <c r="T208" s="56"/>
      <c r="U208" s="56"/>
      <c r="V208" s="56"/>
      <c r="W208" s="56"/>
    </row>
    <row r="209" spans="2:23" s="29" customFormat="1" x14ac:dyDescent="0.25">
      <c r="B209" s="86" t="s">
        <v>499</v>
      </c>
      <c r="C209" s="86" t="s">
        <v>524</v>
      </c>
      <c r="D209" s="56" t="s">
        <v>292</v>
      </c>
      <c r="E209" s="86" t="s">
        <v>293</v>
      </c>
      <c r="F209" s="86"/>
      <c r="G209" s="86"/>
      <c r="H209" s="86">
        <v>67</v>
      </c>
      <c r="I209" s="86"/>
      <c r="J209" s="86">
        <v>2015</v>
      </c>
      <c r="K209" s="126"/>
      <c r="L209" s="126"/>
      <c r="M209" s="126"/>
      <c r="N209" s="126"/>
      <c r="O209" s="126"/>
      <c r="P209" s="113" t="s">
        <v>480</v>
      </c>
      <c r="Q209" s="113" t="s">
        <v>1046</v>
      </c>
      <c r="R209" s="113" t="s">
        <v>1269</v>
      </c>
      <c r="S209" s="113" t="s">
        <v>1270</v>
      </c>
      <c r="T209" s="56"/>
      <c r="U209" s="56"/>
      <c r="V209" s="56"/>
      <c r="W209" s="56"/>
    </row>
    <row r="210" spans="2:23" s="29" customFormat="1" x14ac:dyDescent="0.25">
      <c r="B210" s="86" t="s">
        <v>499</v>
      </c>
      <c r="C210" s="86" t="s">
        <v>524</v>
      </c>
      <c r="D210" s="56" t="s">
        <v>296</v>
      </c>
      <c r="E210" s="86" t="s">
        <v>297</v>
      </c>
      <c r="F210" s="86"/>
      <c r="G210" s="86">
        <v>9.65</v>
      </c>
      <c r="H210" s="86">
        <v>12.28</v>
      </c>
      <c r="I210" s="86">
        <v>15.48</v>
      </c>
      <c r="J210" s="86">
        <v>2017</v>
      </c>
      <c r="K210" s="126"/>
      <c r="L210" s="126" t="s">
        <v>1372</v>
      </c>
      <c r="M210" s="126" t="s">
        <v>693</v>
      </c>
      <c r="N210" s="126"/>
      <c r="O210" s="126" t="s">
        <v>1373</v>
      </c>
      <c r="P210" s="113" t="s">
        <v>15</v>
      </c>
      <c r="Q210" s="113" t="s">
        <v>1358</v>
      </c>
      <c r="R210" s="113" t="s">
        <v>1374</v>
      </c>
      <c r="S210" s="113" t="s">
        <v>1376</v>
      </c>
      <c r="T210" s="56"/>
      <c r="U210" s="56"/>
      <c r="V210" s="56"/>
      <c r="W210" s="56"/>
    </row>
    <row r="211" spans="2:23" s="29" customFormat="1" x14ac:dyDescent="0.25">
      <c r="B211" s="86" t="s">
        <v>499</v>
      </c>
      <c r="C211" s="86" t="s">
        <v>524</v>
      </c>
      <c r="D211" s="56" t="s">
        <v>298</v>
      </c>
      <c r="E211" s="86" t="s">
        <v>299</v>
      </c>
      <c r="F211" s="86"/>
      <c r="G211" s="86"/>
      <c r="H211" s="86">
        <v>27.6</v>
      </c>
      <c r="I211" s="86"/>
      <c r="J211" s="125">
        <v>2015</v>
      </c>
      <c r="K211" s="126" t="s">
        <v>721</v>
      </c>
      <c r="L211" s="126"/>
      <c r="M211" s="126" t="s">
        <v>693</v>
      </c>
      <c r="N211" s="126" t="s">
        <v>1086</v>
      </c>
      <c r="O211" s="126" t="s">
        <v>1085</v>
      </c>
      <c r="P211" s="113" t="s">
        <v>682</v>
      </c>
      <c r="Q211" s="113" t="s">
        <v>1058</v>
      </c>
      <c r="R211" s="113" t="s">
        <v>904</v>
      </c>
      <c r="S211" s="113" t="s">
        <v>508</v>
      </c>
      <c r="T211" s="56"/>
      <c r="U211" s="56"/>
      <c r="V211" s="56"/>
      <c r="W211" s="56"/>
    </row>
    <row r="212" spans="2:23" s="29" customFormat="1" ht="17.25" customHeight="1" x14ac:dyDescent="0.25">
      <c r="B212" s="86" t="s">
        <v>499</v>
      </c>
      <c r="C212" s="86" t="s">
        <v>524</v>
      </c>
      <c r="D212" s="56" t="s">
        <v>310</v>
      </c>
      <c r="E212" s="86" t="s">
        <v>0</v>
      </c>
      <c r="F212" s="86"/>
      <c r="G212" s="86">
        <v>40.299999999999997</v>
      </c>
      <c r="H212" s="86"/>
      <c r="I212" s="86">
        <v>40.6</v>
      </c>
      <c r="J212" s="86" t="s">
        <v>1304</v>
      </c>
      <c r="K212" s="126" t="s">
        <v>713</v>
      </c>
      <c r="L212" s="126" t="s">
        <v>1307</v>
      </c>
      <c r="M212" s="126" t="s">
        <v>693</v>
      </c>
      <c r="N212" s="140" t="s">
        <v>1299</v>
      </c>
      <c r="O212" s="126" t="s">
        <v>1305</v>
      </c>
      <c r="P212" s="113" t="s">
        <v>1303</v>
      </c>
      <c r="Q212" s="113" t="s">
        <v>1300</v>
      </c>
      <c r="R212" s="113" t="s">
        <v>1301</v>
      </c>
      <c r="S212" s="113" t="s">
        <v>1308</v>
      </c>
      <c r="T212" s="56"/>
      <c r="U212" s="56"/>
      <c r="V212" s="56"/>
      <c r="W212" s="56"/>
    </row>
    <row r="213" spans="2:23" s="29" customFormat="1" x14ac:dyDescent="0.25">
      <c r="B213" s="86" t="s">
        <v>499</v>
      </c>
      <c r="C213" s="86" t="s">
        <v>524</v>
      </c>
      <c r="D213" s="56" t="s">
        <v>311</v>
      </c>
      <c r="E213" s="86" t="s">
        <v>312</v>
      </c>
      <c r="F213" s="86"/>
      <c r="G213" s="86"/>
      <c r="H213" s="86">
        <v>66.92</v>
      </c>
      <c r="I213" s="86"/>
      <c r="J213" s="86" t="s">
        <v>1021</v>
      </c>
      <c r="K213" s="126"/>
      <c r="L213" s="126" t="s">
        <v>709</v>
      </c>
      <c r="M213" s="126"/>
      <c r="N213" s="126"/>
      <c r="O213" s="126"/>
      <c r="P213" s="113" t="s">
        <v>1087</v>
      </c>
      <c r="Q213" s="113" t="s">
        <v>1046</v>
      </c>
      <c r="R213" s="113" t="s">
        <v>1088</v>
      </c>
      <c r="S213" s="113" t="s">
        <v>508</v>
      </c>
      <c r="T213" s="56"/>
      <c r="U213" s="56"/>
      <c r="V213" s="56"/>
      <c r="W213" s="56"/>
    </row>
    <row r="214" spans="2:23" s="29" customFormat="1" x14ac:dyDescent="0.25">
      <c r="B214" s="86" t="s">
        <v>499</v>
      </c>
      <c r="C214" s="86" t="s">
        <v>524</v>
      </c>
      <c r="D214" s="56" t="s">
        <v>317</v>
      </c>
      <c r="E214" s="86" t="s">
        <v>318</v>
      </c>
      <c r="F214" s="86"/>
      <c r="G214" s="86"/>
      <c r="H214" s="86">
        <v>3.3</v>
      </c>
      <c r="I214" s="86"/>
      <c r="J214" s="86">
        <v>2014</v>
      </c>
      <c r="K214" s="126"/>
      <c r="L214" s="126"/>
      <c r="M214" s="126"/>
      <c r="N214" s="126" t="s">
        <v>1089</v>
      </c>
      <c r="O214" s="126" t="s">
        <v>819</v>
      </c>
      <c r="P214" s="113" t="s">
        <v>633</v>
      </c>
      <c r="Q214" s="113" t="s">
        <v>858</v>
      </c>
      <c r="R214" s="113" t="s">
        <v>636</v>
      </c>
      <c r="S214" s="113" t="s">
        <v>508</v>
      </c>
      <c r="T214" s="56"/>
      <c r="U214" s="56"/>
      <c r="V214" s="56"/>
      <c r="W214" s="56"/>
    </row>
    <row r="215" spans="2:23" s="29" customFormat="1" x14ac:dyDescent="0.25">
      <c r="B215" s="86"/>
      <c r="C215" s="86"/>
      <c r="D215" s="56"/>
      <c r="E215" s="86"/>
      <c r="F215" s="86"/>
      <c r="G215" s="86"/>
      <c r="H215" s="86"/>
      <c r="I215" s="86"/>
      <c r="J215" s="86"/>
      <c r="K215" s="126"/>
      <c r="L215" s="126"/>
      <c r="M215" s="126"/>
      <c r="N215" s="126"/>
      <c r="O215" s="126"/>
      <c r="P215" s="56"/>
      <c r="Q215" s="56"/>
      <c r="R215" s="56"/>
      <c r="S215" s="56"/>
      <c r="T215" s="56"/>
      <c r="U215" s="56"/>
      <c r="V215" s="56"/>
      <c r="W215" s="56"/>
    </row>
    <row r="216" spans="2:23" s="29" customFormat="1" x14ac:dyDescent="0.25">
      <c r="B216" s="86"/>
      <c r="C216" s="86"/>
      <c r="D216" s="56"/>
      <c r="E216" s="86"/>
      <c r="F216" s="86"/>
      <c r="G216" s="86"/>
      <c r="H216" s="86"/>
      <c r="I216" s="86"/>
      <c r="J216" s="86"/>
      <c r="K216" s="126"/>
      <c r="L216" s="126"/>
      <c r="M216" s="126"/>
      <c r="N216" s="126"/>
      <c r="O216" s="126"/>
      <c r="P216" s="56"/>
      <c r="Q216" s="56"/>
      <c r="R216" s="56"/>
      <c r="S216" s="56"/>
      <c r="T216" s="56"/>
      <c r="U216" s="56"/>
      <c r="V216" s="56"/>
      <c r="W216" s="56"/>
    </row>
    <row r="217" spans="2:23" s="29" customFormat="1" x14ac:dyDescent="0.25">
      <c r="B217" s="86" t="s">
        <v>499</v>
      </c>
      <c r="C217" s="86" t="s">
        <v>524</v>
      </c>
      <c r="D217" s="56" t="s">
        <v>308</v>
      </c>
      <c r="E217" s="86" t="s">
        <v>309</v>
      </c>
      <c r="F217" s="86"/>
      <c r="G217" s="86"/>
      <c r="H217" s="69" t="s">
        <v>1645</v>
      </c>
      <c r="I217" s="86"/>
      <c r="J217" s="86"/>
      <c r="K217" s="126"/>
      <c r="L217" s="126"/>
      <c r="M217" s="126"/>
      <c r="N217" s="126"/>
      <c r="O217" s="126"/>
      <c r="P217" s="56"/>
      <c r="Q217" s="56"/>
      <c r="R217" s="56"/>
      <c r="S217" s="56"/>
      <c r="T217" s="56"/>
      <c r="U217" s="56"/>
      <c r="V217" s="56"/>
      <c r="W217" s="56"/>
    </row>
    <row r="218" spans="2:23" s="29" customFormat="1" x14ac:dyDescent="0.25">
      <c r="B218" s="86" t="s">
        <v>499</v>
      </c>
      <c r="C218" s="86" t="s">
        <v>524</v>
      </c>
      <c r="D218" s="56" t="s">
        <v>294</v>
      </c>
      <c r="E218" s="86" t="s">
        <v>295</v>
      </c>
      <c r="F218" s="86"/>
      <c r="G218" s="86"/>
      <c r="H218" s="69" t="s">
        <v>1645</v>
      </c>
      <c r="I218" s="86"/>
      <c r="J218" s="86"/>
      <c r="K218" s="126"/>
      <c r="L218" s="126"/>
      <c r="M218" s="126"/>
      <c r="N218" s="126"/>
      <c r="O218" s="126"/>
      <c r="P218" s="56"/>
      <c r="Q218" s="56"/>
      <c r="R218" s="56"/>
      <c r="S218" s="56"/>
      <c r="T218" s="56"/>
      <c r="U218" s="56"/>
      <c r="V218" s="56"/>
      <c r="W218" s="56"/>
    </row>
    <row r="219" spans="2:23" s="29" customFormat="1" x14ac:dyDescent="0.25">
      <c r="B219" s="86" t="s">
        <v>499</v>
      </c>
      <c r="C219" s="86" t="s">
        <v>524</v>
      </c>
      <c r="D219" s="56" t="s">
        <v>315</v>
      </c>
      <c r="E219" s="86" t="s">
        <v>316</v>
      </c>
      <c r="F219" s="86"/>
      <c r="G219" s="86"/>
      <c r="H219" s="69" t="s">
        <v>1645</v>
      </c>
      <c r="I219" s="86"/>
      <c r="J219" s="86"/>
      <c r="K219" s="126"/>
      <c r="L219" s="126"/>
      <c r="M219" s="126"/>
      <c r="N219" s="126"/>
      <c r="O219" s="126"/>
      <c r="P219" s="56"/>
      <c r="Q219" s="56"/>
      <c r="R219" s="56"/>
      <c r="S219" s="56"/>
      <c r="T219" s="56"/>
      <c r="U219" s="56"/>
      <c r="V219" s="56"/>
      <c r="W219" s="56"/>
    </row>
    <row r="220" spans="2:23" s="29" customFormat="1" x14ac:dyDescent="0.25">
      <c r="B220" s="86" t="s">
        <v>499</v>
      </c>
      <c r="C220" s="86" t="s">
        <v>524</v>
      </c>
      <c r="D220" s="56" t="s">
        <v>300</v>
      </c>
      <c r="E220" s="86" t="s">
        <v>301</v>
      </c>
      <c r="F220" s="86"/>
      <c r="G220" s="86"/>
      <c r="H220" s="69" t="s">
        <v>1645</v>
      </c>
      <c r="I220" s="86"/>
      <c r="J220" s="86"/>
      <c r="K220" s="126"/>
      <c r="L220" s="126"/>
      <c r="M220" s="126"/>
      <c r="N220" s="126"/>
      <c r="O220" s="126"/>
      <c r="P220" s="56"/>
      <c r="Q220" s="56"/>
      <c r="R220" s="56"/>
      <c r="S220" s="56"/>
      <c r="T220" s="56"/>
      <c r="U220" s="56"/>
      <c r="V220" s="56"/>
      <c r="W220" s="56"/>
    </row>
    <row r="221" spans="2:23" s="29" customFormat="1" x14ac:dyDescent="0.25">
      <c r="B221" s="86" t="s">
        <v>499</v>
      </c>
      <c r="C221" s="86" t="s">
        <v>524</v>
      </c>
      <c r="D221" s="56" t="s">
        <v>302</v>
      </c>
      <c r="E221" s="86" t="s">
        <v>303</v>
      </c>
      <c r="F221" s="86"/>
      <c r="G221" s="86"/>
      <c r="H221" s="69" t="s">
        <v>1645</v>
      </c>
      <c r="I221" s="86"/>
      <c r="J221" s="86"/>
      <c r="K221" s="126"/>
      <c r="L221" s="126"/>
      <c r="M221" s="126"/>
      <c r="N221" s="126"/>
      <c r="O221" s="126"/>
      <c r="P221" s="56"/>
      <c r="Q221" s="56"/>
      <c r="R221" s="56"/>
      <c r="S221" s="56"/>
      <c r="T221" s="56"/>
      <c r="U221" s="56"/>
      <c r="V221" s="56"/>
      <c r="W221" s="56"/>
    </row>
    <row r="222" spans="2:23" s="29" customFormat="1" x14ac:dyDescent="0.25">
      <c r="B222" s="86" t="s">
        <v>499</v>
      </c>
      <c r="C222" s="86" t="s">
        <v>524</v>
      </c>
      <c r="D222" s="56" t="s">
        <v>319</v>
      </c>
      <c r="E222" s="86" t="s">
        <v>320</v>
      </c>
      <c r="F222" s="86"/>
      <c r="G222" s="86"/>
      <c r="H222" s="69" t="s">
        <v>1645</v>
      </c>
      <c r="I222" s="86"/>
      <c r="J222" s="86"/>
      <c r="K222" s="126"/>
      <c r="L222" s="126"/>
      <c r="M222" s="126"/>
      <c r="N222" s="126"/>
      <c r="O222" s="126"/>
      <c r="P222" s="56"/>
      <c r="Q222" s="56"/>
      <c r="R222" s="56"/>
      <c r="S222" s="56"/>
      <c r="T222" s="56"/>
      <c r="U222" s="56"/>
      <c r="V222" s="56"/>
      <c r="W222" s="56"/>
    </row>
    <row r="223" spans="2:23" s="29" customFormat="1" x14ac:dyDescent="0.25">
      <c r="B223" s="86"/>
      <c r="C223" s="86"/>
      <c r="D223" s="56"/>
      <c r="E223" s="86"/>
      <c r="F223" s="86"/>
      <c r="G223" s="86"/>
      <c r="H223" s="86"/>
      <c r="I223" s="86"/>
      <c r="J223" s="86"/>
      <c r="K223" s="126"/>
      <c r="L223" s="126"/>
      <c r="M223" s="126"/>
      <c r="N223" s="126"/>
      <c r="O223" s="126"/>
      <c r="P223" s="56"/>
      <c r="Q223" s="56"/>
      <c r="R223" s="56"/>
      <c r="S223" s="56"/>
      <c r="T223" s="56"/>
      <c r="U223" s="56"/>
      <c r="V223" s="56"/>
      <c r="W223" s="56"/>
    </row>
    <row r="224" spans="2:23" s="29" customFormat="1" x14ac:dyDescent="0.25">
      <c r="B224" s="86"/>
      <c r="C224" s="86"/>
      <c r="D224" s="56"/>
      <c r="E224" s="86"/>
      <c r="F224" s="86"/>
      <c r="G224" s="86"/>
      <c r="H224" s="86"/>
      <c r="I224" s="86"/>
      <c r="J224" s="86"/>
      <c r="K224" s="126"/>
      <c r="L224" s="126"/>
      <c r="M224" s="126"/>
      <c r="N224" s="126"/>
      <c r="O224" s="126"/>
      <c r="P224" s="56"/>
      <c r="Q224" s="56"/>
      <c r="R224" s="56"/>
      <c r="S224" s="56"/>
      <c r="T224" s="56"/>
      <c r="U224" s="56"/>
      <c r="V224" s="56"/>
      <c r="W224" s="56"/>
    </row>
    <row r="225" spans="1:23" s="29" customFormat="1" ht="16.5" thickBot="1" x14ac:dyDescent="0.3">
      <c r="B225" s="86"/>
      <c r="C225" s="86"/>
      <c r="D225" s="56"/>
      <c r="E225" s="86"/>
      <c r="F225" s="86"/>
      <c r="G225" s="86"/>
      <c r="H225" s="86"/>
      <c r="I225" s="86"/>
      <c r="J225" s="86"/>
      <c r="K225" s="126"/>
      <c r="L225" s="126"/>
      <c r="M225" s="126"/>
      <c r="N225" s="126"/>
      <c r="O225" s="126"/>
      <c r="P225" s="56"/>
      <c r="Q225" s="56"/>
      <c r="R225" s="56"/>
      <c r="S225" s="56"/>
      <c r="T225" s="56"/>
      <c r="U225" s="56"/>
      <c r="V225" s="56"/>
      <c r="W225" s="56"/>
    </row>
    <row r="226" spans="1:23" s="29" customFormat="1" ht="16.5" thickTop="1" x14ac:dyDescent="0.25">
      <c r="B226" s="128"/>
      <c r="C226" s="128"/>
      <c r="D226" s="74"/>
      <c r="E226" s="128"/>
      <c r="F226" s="128"/>
      <c r="G226" s="128"/>
      <c r="H226" s="128"/>
      <c r="I226" s="128"/>
      <c r="J226" s="128"/>
      <c r="K226" s="129"/>
      <c r="L226" s="129"/>
      <c r="M226" s="129"/>
      <c r="N226" s="129"/>
      <c r="O226" s="129"/>
      <c r="P226" s="74"/>
      <c r="Q226" s="74"/>
      <c r="R226" s="74"/>
      <c r="S226" s="74"/>
      <c r="T226" s="56"/>
      <c r="U226" s="56"/>
      <c r="V226" s="56"/>
      <c r="W226" s="56"/>
    </row>
    <row r="227" spans="1:23" s="29" customFormat="1" x14ac:dyDescent="0.25">
      <c r="B227" s="86" t="s">
        <v>499</v>
      </c>
      <c r="C227" s="56" t="s">
        <v>321</v>
      </c>
      <c r="D227" s="56" t="s">
        <v>322</v>
      </c>
      <c r="E227" s="86" t="s">
        <v>323</v>
      </c>
      <c r="F227" s="86"/>
      <c r="G227" s="86"/>
      <c r="H227" s="86">
        <v>39.6</v>
      </c>
      <c r="I227" s="86"/>
      <c r="J227" s="86">
        <v>2011</v>
      </c>
      <c r="K227" s="126" t="s">
        <v>691</v>
      </c>
      <c r="L227" s="126"/>
      <c r="M227" s="126" t="s">
        <v>700</v>
      </c>
      <c r="N227" s="126" t="s">
        <v>1091</v>
      </c>
      <c r="O227" s="126" t="s">
        <v>1090</v>
      </c>
      <c r="P227" s="150" t="s">
        <v>19</v>
      </c>
      <c r="Q227" s="150" t="s">
        <v>1053</v>
      </c>
      <c r="R227" s="150" t="s">
        <v>17</v>
      </c>
      <c r="S227" s="150" t="s">
        <v>1092</v>
      </c>
      <c r="T227" s="56" t="s">
        <v>508</v>
      </c>
      <c r="U227" s="56"/>
      <c r="V227" s="56"/>
      <c r="W227" s="56"/>
    </row>
    <row r="228" spans="1:23" s="29" customFormat="1" x14ac:dyDescent="0.25">
      <c r="B228" s="86" t="s">
        <v>499</v>
      </c>
      <c r="C228" s="56" t="s">
        <v>321</v>
      </c>
      <c r="D228" s="56" t="s">
        <v>326</v>
      </c>
      <c r="E228" s="86" t="s">
        <v>327</v>
      </c>
      <c r="F228" s="86"/>
      <c r="G228" s="86">
        <v>36.299999999999997</v>
      </c>
      <c r="H228" s="86">
        <v>37.200000000000003</v>
      </c>
      <c r="I228" s="132">
        <v>38</v>
      </c>
      <c r="J228" s="86">
        <v>2013</v>
      </c>
      <c r="K228" s="126" t="s">
        <v>1094</v>
      </c>
      <c r="L228" s="126" t="s">
        <v>692</v>
      </c>
      <c r="M228" s="126" t="s">
        <v>693</v>
      </c>
      <c r="N228" s="126" t="s">
        <v>1093</v>
      </c>
      <c r="O228" s="138" t="s">
        <v>1095</v>
      </c>
      <c r="P228" s="113" t="s">
        <v>12</v>
      </c>
      <c r="Q228" s="113" t="s">
        <v>881</v>
      </c>
      <c r="R228" s="113" t="s">
        <v>609</v>
      </c>
      <c r="S228" s="113" t="s">
        <v>508</v>
      </c>
      <c r="T228" s="56"/>
      <c r="U228" s="56"/>
      <c r="V228" s="56"/>
      <c r="W228" s="56"/>
    </row>
    <row r="229" spans="1:23" s="29" customFormat="1" x14ac:dyDescent="0.25">
      <c r="B229" s="86" t="s">
        <v>499</v>
      </c>
      <c r="C229" s="56" t="s">
        <v>321</v>
      </c>
      <c r="D229" s="56" t="s">
        <v>328</v>
      </c>
      <c r="E229" s="86" t="s">
        <v>329</v>
      </c>
      <c r="F229" s="86"/>
      <c r="G229" s="86"/>
      <c r="H229" s="86">
        <v>0.7</v>
      </c>
      <c r="I229" s="86"/>
      <c r="J229" s="86">
        <v>2008</v>
      </c>
      <c r="K229" s="126"/>
      <c r="L229" s="126"/>
      <c r="M229" s="126"/>
      <c r="N229" s="126"/>
      <c r="O229" s="126"/>
      <c r="P229" s="113" t="s">
        <v>480</v>
      </c>
      <c r="Q229" s="113" t="s">
        <v>1048</v>
      </c>
      <c r="R229" s="113" t="s">
        <v>480</v>
      </c>
      <c r="S229" s="113"/>
      <c r="T229" s="56"/>
      <c r="U229" s="56"/>
      <c r="V229" s="56"/>
      <c r="W229" s="56"/>
    </row>
    <row r="230" spans="1:23" s="29" customFormat="1" x14ac:dyDescent="0.25">
      <c r="A230" s="32"/>
      <c r="B230" s="86" t="s">
        <v>499</v>
      </c>
      <c r="C230" s="56" t="s">
        <v>321</v>
      </c>
      <c r="D230" s="56" t="s">
        <v>332</v>
      </c>
      <c r="E230" s="86" t="s">
        <v>333</v>
      </c>
      <c r="F230" s="86"/>
      <c r="G230" s="132">
        <v>13.1</v>
      </c>
      <c r="H230" s="86"/>
      <c r="I230" s="86">
        <v>38.1</v>
      </c>
      <c r="J230" s="125" t="s">
        <v>996</v>
      </c>
      <c r="K230" s="126" t="s">
        <v>823</v>
      </c>
      <c r="L230" s="126" t="s">
        <v>824</v>
      </c>
      <c r="M230" s="126" t="s">
        <v>1099</v>
      </c>
      <c r="N230" s="126" t="s">
        <v>1100</v>
      </c>
      <c r="O230" s="126" t="s">
        <v>1097</v>
      </c>
      <c r="P230" s="113" t="s">
        <v>639</v>
      </c>
      <c r="Q230" s="113" t="s">
        <v>1096</v>
      </c>
      <c r="R230" s="113" t="s">
        <v>993</v>
      </c>
      <c r="S230" s="113" t="s">
        <v>1098</v>
      </c>
      <c r="T230" s="56"/>
      <c r="U230" s="56"/>
      <c r="V230" s="56"/>
      <c r="W230" s="56"/>
    </row>
    <row r="231" spans="1:23" s="29" customFormat="1" x14ac:dyDescent="0.25">
      <c r="B231" s="86" t="s">
        <v>499</v>
      </c>
      <c r="C231" s="56" t="s">
        <v>321</v>
      </c>
      <c r="D231" s="56" t="s">
        <v>330</v>
      </c>
      <c r="E231" s="86" t="s">
        <v>331</v>
      </c>
      <c r="F231" s="86"/>
      <c r="G231" s="132">
        <v>2.8</v>
      </c>
      <c r="H231" s="86">
        <v>6.2</v>
      </c>
      <c r="I231" s="86">
        <v>9.5</v>
      </c>
      <c r="J231" s="125">
        <v>2018</v>
      </c>
      <c r="K231" s="126" t="s">
        <v>691</v>
      </c>
      <c r="L231" s="126" t="s">
        <v>1250</v>
      </c>
      <c r="M231" s="126" t="s">
        <v>693</v>
      </c>
      <c r="N231" s="126" t="s">
        <v>826</v>
      </c>
      <c r="O231" s="126" t="s">
        <v>1249</v>
      </c>
      <c r="P231" s="113" t="s">
        <v>992</v>
      </c>
      <c r="Q231" s="113" t="s">
        <v>849</v>
      </c>
      <c r="R231" s="113" t="s">
        <v>1247</v>
      </c>
      <c r="S231" s="113" t="s">
        <v>508</v>
      </c>
      <c r="T231" s="56"/>
      <c r="U231" s="56"/>
      <c r="V231" s="56"/>
      <c r="W231" s="56"/>
    </row>
    <row r="232" spans="1:23" s="29" customFormat="1" x14ac:dyDescent="0.25">
      <c r="B232" s="86"/>
      <c r="C232" s="86"/>
      <c r="D232" s="56"/>
      <c r="E232" s="86"/>
      <c r="F232" s="86"/>
      <c r="G232" s="86"/>
      <c r="H232" s="86"/>
      <c r="I232" s="86"/>
      <c r="J232" s="86"/>
      <c r="K232" s="126"/>
      <c r="L232" s="126"/>
      <c r="M232" s="126"/>
      <c r="N232" s="126"/>
      <c r="O232" s="126"/>
      <c r="P232" s="113"/>
      <c r="Q232" s="113"/>
      <c r="R232" s="113"/>
      <c r="S232" s="113"/>
      <c r="T232" s="56"/>
      <c r="U232" s="56"/>
      <c r="V232" s="56"/>
      <c r="W232" s="56"/>
    </row>
    <row r="233" spans="1:23" s="29" customFormat="1" x14ac:dyDescent="0.25">
      <c r="B233" s="86"/>
      <c r="C233" s="86"/>
      <c r="D233" s="56"/>
      <c r="E233" s="86"/>
      <c r="F233" s="86"/>
      <c r="G233" s="86"/>
      <c r="H233" s="86"/>
      <c r="I233" s="86"/>
      <c r="J233" s="86"/>
      <c r="K233" s="126"/>
      <c r="L233" s="126"/>
      <c r="M233" s="126"/>
      <c r="N233" s="126"/>
      <c r="O233" s="126"/>
      <c r="P233" s="113"/>
      <c r="Q233" s="113"/>
      <c r="R233" s="113"/>
      <c r="S233" s="113"/>
      <c r="T233" s="56"/>
      <c r="U233" s="56"/>
      <c r="V233" s="56"/>
      <c r="W233" s="56"/>
    </row>
    <row r="234" spans="1:23" s="29" customFormat="1" x14ac:dyDescent="0.25">
      <c r="B234" s="86" t="s">
        <v>499</v>
      </c>
      <c r="C234" s="56" t="s">
        <v>321</v>
      </c>
      <c r="D234" s="56" t="s">
        <v>324</v>
      </c>
      <c r="E234" s="86" t="s">
        <v>325</v>
      </c>
      <c r="F234" s="86"/>
      <c r="G234" s="86"/>
      <c r="H234" s="69" t="s">
        <v>1645</v>
      </c>
      <c r="I234" s="86"/>
      <c r="J234" s="86"/>
      <c r="K234" s="126"/>
      <c r="L234" s="126"/>
      <c r="M234" s="126"/>
      <c r="N234" s="126"/>
      <c r="O234" s="126"/>
      <c r="P234" s="113"/>
      <c r="Q234" s="113"/>
      <c r="R234" s="113"/>
      <c r="S234" s="113"/>
      <c r="T234" s="56"/>
      <c r="U234" s="56"/>
      <c r="V234" s="56"/>
      <c r="W234" s="56"/>
    </row>
    <row r="235" spans="1:23" s="29" customFormat="1" x14ac:dyDescent="0.25">
      <c r="B235" s="86"/>
      <c r="C235" s="86"/>
      <c r="D235" s="56"/>
      <c r="E235" s="86"/>
      <c r="F235" s="86"/>
      <c r="G235" s="86"/>
      <c r="H235" s="86"/>
      <c r="I235" s="86"/>
      <c r="J235" s="86"/>
      <c r="K235" s="126"/>
      <c r="L235" s="126"/>
      <c r="M235" s="126"/>
      <c r="N235" s="126"/>
      <c r="O235" s="126"/>
      <c r="P235" s="113"/>
      <c r="Q235" s="113"/>
      <c r="R235" s="113"/>
      <c r="S235" s="113"/>
      <c r="T235" s="56"/>
      <c r="U235" s="56"/>
      <c r="V235" s="56"/>
      <c r="W235" s="56"/>
    </row>
    <row r="236" spans="1:23" s="29" customFormat="1" x14ac:dyDescent="0.25">
      <c r="B236" s="86"/>
      <c r="C236" s="86"/>
      <c r="D236" s="56"/>
      <c r="E236" s="86"/>
      <c r="F236" s="86"/>
      <c r="G236" s="86"/>
      <c r="H236" s="86"/>
      <c r="I236" s="86"/>
      <c r="J236" s="86"/>
      <c r="K236" s="126"/>
      <c r="L236" s="126"/>
      <c r="M236" s="126"/>
      <c r="N236" s="126"/>
      <c r="O236" s="126"/>
      <c r="P236" s="113"/>
      <c r="Q236" s="113"/>
      <c r="R236" s="113"/>
      <c r="S236" s="113"/>
      <c r="T236" s="56"/>
      <c r="U236" s="56"/>
      <c r="V236" s="56"/>
      <c r="W236" s="56"/>
    </row>
    <row r="237" spans="1:23" s="29" customFormat="1" ht="16.5" thickBot="1" x14ac:dyDescent="0.3">
      <c r="B237" s="86"/>
      <c r="C237" s="86"/>
      <c r="D237" s="56"/>
      <c r="E237" s="86"/>
      <c r="F237" s="86"/>
      <c r="G237" s="86"/>
      <c r="H237" s="86"/>
      <c r="I237" s="86"/>
      <c r="J237" s="86"/>
      <c r="K237" s="126"/>
      <c r="L237" s="126"/>
      <c r="M237" s="126"/>
      <c r="N237" s="126"/>
      <c r="O237" s="126"/>
      <c r="P237" s="113"/>
      <c r="Q237" s="113"/>
      <c r="R237" s="113"/>
      <c r="S237" s="113"/>
      <c r="T237" s="56"/>
      <c r="U237" s="56"/>
      <c r="V237" s="56"/>
      <c r="W237" s="56"/>
    </row>
    <row r="238" spans="1:23" s="29" customFormat="1" ht="16.5" thickTop="1" x14ac:dyDescent="0.25">
      <c r="B238" s="128"/>
      <c r="C238" s="128"/>
      <c r="D238" s="74"/>
      <c r="E238" s="128"/>
      <c r="F238" s="128"/>
      <c r="G238" s="128"/>
      <c r="H238" s="128"/>
      <c r="I238" s="128"/>
      <c r="J238" s="128"/>
      <c r="K238" s="129"/>
      <c r="L238" s="129"/>
      <c r="M238" s="129"/>
      <c r="N238" s="129"/>
      <c r="O238" s="129"/>
      <c r="P238" s="143"/>
      <c r="Q238" s="143"/>
      <c r="R238" s="143"/>
      <c r="S238" s="143"/>
      <c r="T238" s="56"/>
      <c r="U238" s="56"/>
      <c r="V238" s="56"/>
      <c r="W238" s="56"/>
    </row>
    <row r="239" spans="1:23" s="29" customFormat="1" x14ac:dyDescent="0.25">
      <c r="B239" s="86" t="s">
        <v>500</v>
      </c>
      <c r="C239" s="56" t="s">
        <v>1613</v>
      </c>
      <c r="D239" s="56" t="s">
        <v>337</v>
      </c>
      <c r="E239" s="86" t="s">
        <v>338</v>
      </c>
      <c r="F239" s="86"/>
      <c r="G239" s="86"/>
      <c r="H239" s="86">
        <v>20.5</v>
      </c>
      <c r="I239" s="86"/>
      <c r="J239" s="86">
        <v>2017</v>
      </c>
      <c r="K239" s="126"/>
      <c r="L239" s="126"/>
      <c r="M239" s="126"/>
      <c r="N239" s="126"/>
      <c r="O239" s="126"/>
      <c r="P239" s="113" t="s">
        <v>1484</v>
      </c>
      <c r="Q239" s="113" t="s">
        <v>856</v>
      </c>
      <c r="R239" s="113" t="s">
        <v>1604</v>
      </c>
      <c r="S239" s="113"/>
      <c r="T239" s="56"/>
      <c r="U239" s="56"/>
      <c r="V239" s="56"/>
      <c r="W239" s="56"/>
    </row>
    <row r="240" spans="1:23" s="29" customFormat="1" x14ac:dyDescent="0.25">
      <c r="A240" s="32"/>
      <c r="B240" s="86" t="s">
        <v>500</v>
      </c>
      <c r="C240" s="56" t="s">
        <v>1613</v>
      </c>
      <c r="D240" s="56" t="s">
        <v>346</v>
      </c>
      <c r="E240" s="86" t="s">
        <v>497</v>
      </c>
      <c r="F240" s="86"/>
      <c r="G240" s="86"/>
      <c r="H240" s="86">
        <v>65.400000000000006</v>
      </c>
      <c r="I240" s="86"/>
      <c r="J240" s="86">
        <v>2013</v>
      </c>
      <c r="K240" s="126" t="s">
        <v>691</v>
      </c>
      <c r="L240" s="126" t="s">
        <v>692</v>
      </c>
      <c r="M240" s="126" t="s">
        <v>693</v>
      </c>
      <c r="N240" s="126" t="s">
        <v>831</v>
      </c>
      <c r="O240" s="126" t="s">
        <v>1101</v>
      </c>
      <c r="P240" s="113" t="s">
        <v>632</v>
      </c>
      <c r="Q240" s="113" t="s">
        <v>856</v>
      </c>
      <c r="R240" s="113" t="s">
        <v>644</v>
      </c>
      <c r="S240" s="113" t="s">
        <v>1102</v>
      </c>
      <c r="T240" s="56"/>
      <c r="U240" s="56"/>
      <c r="V240" s="56"/>
      <c r="W240" s="56"/>
    </row>
    <row r="241" spans="1:23" s="29" customFormat="1" x14ac:dyDescent="0.25">
      <c r="B241" s="86" t="s">
        <v>500</v>
      </c>
      <c r="C241" s="56" t="s">
        <v>1613</v>
      </c>
      <c r="D241" s="56" t="s">
        <v>351</v>
      </c>
      <c r="E241" s="86" t="s">
        <v>352</v>
      </c>
      <c r="F241" s="86"/>
      <c r="G241" s="86"/>
      <c r="H241" s="132">
        <v>49.7</v>
      </c>
      <c r="I241" s="86"/>
      <c r="J241" s="86">
        <v>2018</v>
      </c>
      <c r="K241" s="126"/>
      <c r="L241" s="126"/>
      <c r="M241" s="126"/>
      <c r="N241" s="126" t="s">
        <v>697</v>
      </c>
      <c r="O241" s="126"/>
      <c r="P241" s="113" t="s">
        <v>480</v>
      </c>
      <c r="Q241" s="113" t="s">
        <v>855</v>
      </c>
      <c r="R241" s="113" t="s">
        <v>1429</v>
      </c>
      <c r="S241" s="113" t="s">
        <v>1257</v>
      </c>
      <c r="T241" s="56"/>
      <c r="U241" s="56"/>
      <c r="V241" s="56"/>
      <c r="W241" s="56"/>
    </row>
    <row r="242" spans="1:23" s="29" customFormat="1" ht="17.25" customHeight="1" x14ac:dyDescent="0.25">
      <c r="A242" s="32"/>
      <c r="B242" s="86" t="s">
        <v>500</v>
      </c>
      <c r="C242" s="56" t="s">
        <v>1613</v>
      </c>
      <c r="D242" s="56" t="s">
        <v>357</v>
      </c>
      <c r="E242" s="86" t="s">
        <v>358</v>
      </c>
      <c r="F242" s="86"/>
      <c r="G242" s="86"/>
      <c r="H242" s="86">
        <v>55.9</v>
      </c>
      <c r="I242" s="86"/>
      <c r="J242" s="86">
        <v>2015</v>
      </c>
      <c r="K242" s="126" t="s">
        <v>713</v>
      </c>
      <c r="L242" s="126" t="s">
        <v>733</v>
      </c>
      <c r="M242" s="126" t="s">
        <v>693</v>
      </c>
      <c r="N242" s="126" t="s">
        <v>835</v>
      </c>
      <c r="O242" s="138" t="s">
        <v>1149</v>
      </c>
      <c r="P242" s="113" t="s">
        <v>1147</v>
      </c>
      <c r="Q242" s="113" t="s">
        <v>849</v>
      </c>
      <c r="R242" s="134" t="s">
        <v>1148</v>
      </c>
      <c r="S242" s="113" t="s">
        <v>508</v>
      </c>
      <c r="T242" s="56"/>
      <c r="U242" s="56"/>
      <c r="V242" s="56"/>
      <c r="W242" s="56"/>
    </row>
    <row r="243" spans="1:23" s="29" customFormat="1" x14ac:dyDescent="0.25">
      <c r="B243" s="86"/>
      <c r="C243" s="56"/>
      <c r="D243" s="56"/>
      <c r="E243" s="86"/>
      <c r="F243" s="86"/>
      <c r="G243" s="86"/>
      <c r="H243" s="132"/>
      <c r="I243" s="86"/>
      <c r="J243" s="86"/>
      <c r="K243" s="126"/>
      <c r="L243" s="126"/>
      <c r="M243" s="126"/>
      <c r="N243" s="126"/>
      <c r="O243" s="126"/>
      <c r="P243" s="113"/>
      <c r="Q243" s="113"/>
      <c r="R243" s="113"/>
      <c r="S243" s="113"/>
      <c r="T243" s="56"/>
      <c r="U243" s="56"/>
      <c r="V243" s="56"/>
      <c r="W243" s="56"/>
    </row>
    <row r="244" spans="1:23" s="29" customFormat="1" ht="16.5" thickBot="1" x14ac:dyDescent="0.3">
      <c r="B244" s="86"/>
      <c r="C244" s="56"/>
      <c r="D244" s="56"/>
      <c r="E244" s="86"/>
      <c r="F244" s="86"/>
      <c r="G244" s="86"/>
      <c r="H244" s="132"/>
      <c r="I244" s="86"/>
      <c r="J244" s="86"/>
      <c r="K244" s="126"/>
      <c r="L244" s="126"/>
      <c r="M244" s="126"/>
      <c r="N244" s="126"/>
      <c r="O244" s="126"/>
      <c r="P244" s="113"/>
      <c r="Q244" s="113"/>
      <c r="R244" s="113"/>
      <c r="S244" s="113"/>
      <c r="T244" s="56"/>
      <c r="U244" s="56"/>
      <c r="V244" s="56"/>
      <c r="W244" s="56"/>
    </row>
    <row r="245" spans="1:23" s="29" customFormat="1" ht="16.5" thickTop="1" x14ac:dyDescent="0.25">
      <c r="B245" s="128"/>
      <c r="C245" s="74"/>
      <c r="D245" s="74"/>
      <c r="E245" s="128"/>
      <c r="F245" s="128"/>
      <c r="G245" s="128"/>
      <c r="H245" s="128"/>
      <c r="I245" s="128"/>
      <c r="J245" s="128"/>
      <c r="K245" s="129"/>
      <c r="L245" s="129"/>
      <c r="M245" s="129"/>
      <c r="N245" s="129"/>
      <c r="O245" s="129"/>
      <c r="P245" s="143"/>
      <c r="Q245" s="143"/>
      <c r="R245" s="143"/>
      <c r="S245" s="143"/>
      <c r="T245" s="56"/>
      <c r="U245" s="56"/>
      <c r="V245" s="56"/>
      <c r="W245" s="56"/>
    </row>
    <row r="246" spans="1:23" s="29" customFormat="1" x14ac:dyDescent="0.25">
      <c r="B246" s="86" t="s">
        <v>500</v>
      </c>
      <c r="C246" s="56" t="s">
        <v>1644</v>
      </c>
      <c r="D246" s="56" t="s">
        <v>335</v>
      </c>
      <c r="E246" s="86" t="s">
        <v>336</v>
      </c>
      <c r="F246" s="86"/>
      <c r="G246" s="86">
        <v>20.5</v>
      </c>
      <c r="H246" s="86">
        <v>28.8</v>
      </c>
      <c r="I246" s="86">
        <v>37.200000000000003</v>
      </c>
      <c r="J246" s="86">
        <v>2011</v>
      </c>
      <c r="K246" s="126"/>
      <c r="L246" s="126"/>
      <c r="M246" s="126"/>
      <c r="N246" s="126" t="s">
        <v>827</v>
      </c>
      <c r="O246" s="126">
        <v>200</v>
      </c>
      <c r="P246" s="113" t="s">
        <v>1104</v>
      </c>
      <c r="Q246" s="113" t="s">
        <v>856</v>
      </c>
      <c r="R246" s="113" t="s">
        <v>1103</v>
      </c>
      <c r="S246" s="113" t="s">
        <v>508</v>
      </c>
      <c r="T246" s="56" t="s">
        <v>508</v>
      </c>
      <c r="U246" s="56"/>
      <c r="V246" s="56"/>
      <c r="W246" s="56"/>
    </row>
    <row r="247" spans="1:23" s="29" customFormat="1" x14ac:dyDescent="0.25">
      <c r="B247" s="86" t="s">
        <v>500</v>
      </c>
      <c r="C247" s="56" t="s">
        <v>1644</v>
      </c>
      <c r="D247" s="56" t="s">
        <v>339</v>
      </c>
      <c r="E247" s="86" t="s">
        <v>340</v>
      </c>
      <c r="F247" s="86"/>
      <c r="G247" s="132">
        <v>12</v>
      </c>
      <c r="H247" s="86"/>
      <c r="I247" s="86">
        <v>43.4</v>
      </c>
      <c r="J247" s="86">
        <v>2012</v>
      </c>
      <c r="K247" s="126" t="s">
        <v>713</v>
      </c>
      <c r="L247" s="126" t="s">
        <v>804</v>
      </c>
      <c r="M247" s="126" t="s">
        <v>693</v>
      </c>
      <c r="N247" s="126" t="s">
        <v>918</v>
      </c>
      <c r="O247" s="126" t="s">
        <v>828</v>
      </c>
      <c r="P247" s="113" t="s">
        <v>1106</v>
      </c>
      <c r="Q247" s="113" t="s">
        <v>856</v>
      </c>
      <c r="R247" s="113" t="s">
        <v>573</v>
      </c>
      <c r="S247" s="113" t="s">
        <v>1105</v>
      </c>
      <c r="T247" s="56" t="s">
        <v>508</v>
      </c>
      <c r="U247" s="56" t="s">
        <v>508</v>
      </c>
      <c r="V247" s="56"/>
      <c r="W247" s="56"/>
    </row>
    <row r="248" spans="1:23" s="29" customFormat="1" x14ac:dyDescent="0.25">
      <c r="B248" s="86" t="s">
        <v>500</v>
      </c>
      <c r="C248" s="56" t="s">
        <v>1644</v>
      </c>
      <c r="D248" s="56" t="s">
        <v>341</v>
      </c>
      <c r="E248" s="86" t="s">
        <v>342</v>
      </c>
      <c r="F248" s="86"/>
      <c r="G248" s="86"/>
      <c r="H248" s="86">
        <v>76.8</v>
      </c>
      <c r="I248" s="86"/>
      <c r="J248" s="86">
        <v>2017</v>
      </c>
      <c r="K248" s="126"/>
      <c r="L248" s="126"/>
      <c r="M248" s="126"/>
      <c r="N248" s="126" t="s">
        <v>1107</v>
      </c>
      <c r="O248" s="126"/>
      <c r="P248" s="113" t="s">
        <v>480</v>
      </c>
      <c r="Q248" s="113" t="s">
        <v>1046</v>
      </c>
      <c r="R248" s="113" t="s">
        <v>1215</v>
      </c>
      <c r="S248" s="113" t="s">
        <v>1403</v>
      </c>
      <c r="T248" s="56"/>
      <c r="U248" s="56"/>
      <c r="V248" s="56"/>
      <c r="W248" s="56"/>
    </row>
    <row r="249" spans="1:23" s="29" customFormat="1" x14ac:dyDescent="0.25">
      <c r="A249" s="32"/>
      <c r="B249" s="86" t="s">
        <v>500</v>
      </c>
      <c r="C249" s="56" t="s">
        <v>1644</v>
      </c>
      <c r="D249" s="56" t="s">
        <v>343</v>
      </c>
      <c r="E249" s="86" t="s">
        <v>344</v>
      </c>
      <c r="F249" s="86"/>
      <c r="G249" s="86">
        <v>29.1</v>
      </c>
      <c r="H249" s="86"/>
      <c r="I249" s="86">
        <v>38.299999999999997</v>
      </c>
      <c r="J249" s="86">
        <v>2015</v>
      </c>
      <c r="K249" s="126" t="s">
        <v>713</v>
      </c>
      <c r="L249" s="126" t="s">
        <v>692</v>
      </c>
      <c r="M249" s="126" t="s">
        <v>693</v>
      </c>
      <c r="N249" s="126" t="s">
        <v>829</v>
      </c>
      <c r="O249" s="126" t="s">
        <v>830</v>
      </c>
      <c r="P249" s="113" t="s">
        <v>643</v>
      </c>
      <c r="Q249" s="113" t="s">
        <v>856</v>
      </c>
      <c r="R249" s="113" t="s">
        <v>642</v>
      </c>
      <c r="S249" s="113" t="s">
        <v>1108</v>
      </c>
      <c r="T249" s="56"/>
      <c r="U249" s="56"/>
      <c r="V249" s="56"/>
      <c r="W249" s="56"/>
    </row>
    <row r="250" spans="1:23" s="29" customFormat="1" x14ac:dyDescent="0.25">
      <c r="B250" s="86" t="s">
        <v>500</v>
      </c>
      <c r="C250" s="56" t="s">
        <v>1644</v>
      </c>
      <c r="D250" s="56" t="s">
        <v>345</v>
      </c>
      <c r="E250" s="56" t="s">
        <v>1610</v>
      </c>
      <c r="F250" s="86"/>
      <c r="G250" s="86">
        <v>60.5</v>
      </c>
      <c r="H250" s="86">
        <v>72</v>
      </c>
      <c r="I250" s="86">
        <v>80.599999999999994</v>
      </c>
      <c r="J250" s="86">
        <v>2017</v>
      </c>
      <c r="K250" s="86" t="s">
        <v>713</v>
      </c>
      <c r="L250" s="86" t="s">
        <v>837</v>
      </c>
      <c r="M250" s="86" t="s">
        <v>1515</v>
      </c>
      <c r="N250" s="86" t="s">
        <v>715</v>
      </c>
      <c r="O250" s="86">
        <v>288</v>
      </c>
      <c r="P250" s="86" t="s">
        <v>528</v>
      </c>
      <c r="Q250" s="86" t="s">
        <v>1514</v>
      </c>
      <c r="R250" s="86" t="s">
        <v>1605</v>
      </c>
      <c r="S250" s="86" t="s">
        <v>1550</v>
      </c>
      <c r="T250" s="56" t="s">
        <v>508</v>
      </c>
      <c r="U250" s="56"/>
      <c r="V250" s="56"/>
      <c r="W250" s="56"/>
    </row>
    <row r="251" spans="1:23" s="29" customFormat="1" x14ac:dyDescent="0.25">
      <c r="B251" s="86" t="s">
        <v>500</v>
      </c>
      <c r="C251" s="56" t="s">
        <v>1644</v>
      </c>
      <c r="D251" s="56" t="s">
        <v>347</v>
      </c>
      <c r="E251" s="86" t="s">
        <v>348</v>
      </c>
      <c r="F251" s="86"/>
      <c r="G251" s="86"/>
      <c r="H251" s="132">
        <v>53</v>
      </c>
      <c r="I251" s="86"/>
      <c r="J251" s="86">
        <v>2013</v>
      </c>
      <c r="K251" s="126" t="s">
        <v>713</v>
      </c>
      <c r="L251" s="126" t="s">
        <v>804</v>
      </c>
      <c r="M251" s="126" t="s">
        <v>693</v>
      </c>
      <c r="N251" s="126" t="s">
        <v>727</v>
      </c>
      <c r="O251" s="126" t="s">
        <v>832</v>
      </c>
      <c r="P251" s="113" t="s">
        <v>985</v>
      </c>
      <c r="Q251" s="113" t="s">
        <v>849</v>
      </c>
      <c r="R251" s="145" t="s">
        <v>596</v>
      </c>
      <c r="S251" s="113" t="s">
        <v>508</v>
      </c>
      <c r="T251" s="56"/>
      <c r="U251" s="56"/>
      <c r="V251" s="56"/>
      <c r="W251" s="56"/>
    </row>
    <row r="252" spans="1:23" s="43" customFormat="1" x14ac:dyDescent="0.25">
      <c r="B252" s="151" t="s">
        <v>500</v>
      </c>
      <c r="C252" s="56" t="s">
        <v>1644</v>
      </c>
      <c r="D252" s="146" t="s">
        <v>349</v>
      </c>
      <c r="E252" s="151" t="s">
        <v>350</v>
      </c>
      <c r="F252" s="151"/>
      <c r="G252" s="151"/>
      <c r="H252" s="151">
        <v>79.3</v>
      </c>
      <c r="I252" s="151"/>
      <c r="J252" s="151">
        <v>2017</v>
      </c>
      <c r="K252" s="126" t="s">
        <v>691</v>
      </c>
      <c r="L252" s="146" t="s">
        <v>1650</v>
      </c>
      <c r="M252" s="146" t="s">
        <v>693</v>
      </c>
      <c r="N252" s="146" t="s">
        <v>1651</v>
      </c>
      <c r="O252" s="146">
        <v>444</v>
      </c>
      <c r="P252" s="150" t="s">
        <v>1636</v>
      </c>
      <c r="Q252" s="150" t="s">
        <v>1652</v>
      </c>
      <c r="R252" s="150" t="s">
        <v>1635</v>
      </c>
      <c r="S252" s="150" t="s">
        <v>1653</v>
      </c>
      <c r="T252" s="146"/>
      <c r="U252" s="146"/>
      <c r="V252" s="146"/>
      <c r="W252" s="146"/>
    </row>
    <row r="253" spans="1:23" s="29" customFormat="1" x14ac:dyDescent="0.25">
      <c r="B253" s="86" t="s">
        <v>500</v>
      </c>
      <c r="C253" s="56" t="s">
        <v>1644</v>
      </c>
      <c r="D253" s="56" t="s">
        <v>353</v>
      </c>
      <c r="E253" s="86" t="s">
        <v>354</v>
      </c>
      <c r="F253" s="86"/>
      <c r="G253" s="86">
        <v>50.2</v>
      </c>
      <c r="H253" s="86">
        <v>54.7</v>
      </c>
      <c r="I253" s="86">
        <v>61.4</v>
      </c>
      <c r="J253" s="86">
        <v>2013</v>
      </c>
      <c r="K253" s="126" t="s">
        <v>713</v>
      </c>
      <c r="L253" s="126" t="s">
        <v>692</v>
      </c>
      <c r="M253" s="126" t="s">
        <v>693</v>
      </c>
      <c r="N253" s="126" t="s">
        <v>833</v>
      </c>
      <c r="O253" s="126" t="s">
        <v>834</v>
      </c>
      <c r="P253" s="113" t="s">
        <v>1278</v>
      </c>
      <c r="Q253" s="113" t="s">
        <v>849</v>
      </c>
      <c r="R253" s="145" t="s">
        <v>987</v>
      </c>
      <c r="S253" s="145" t="s">
        <v>1109</v>
      </c>
      <c r="T253" s="56" t="s">
        <v>508</v>
      </c>
      <c r="U253" s="56"/>
      <c r="V253" s="56"/>
      <c r="W253" s="56"/>
    </row>
    <row r="254" spans="1:23" s="29" customFormat="1" x14ac:dyDescent="0.25">
      <c r="A254" s="43"/>
      <c r="B254" s="86" t="s">
        <v>500</v>
      </c>
      <c r="C254" s="56" t="s">
        <v>1644</v>
      </c>
      <c r="D254" s="56" t="s">
        <v>355</v>
      </c>
      <c r="E254" s="86" t="s">
        <v>356</v>
      </c>
      <c r="F254" s="86"/>
      <c r="G254" s="86"/>
      <c r="H254" s="86">
        <v>49.23</v>
      </c>
      <c r="I254" s="86"/>
      <c r="J254" s="86">
        <v>2018</v>
      </c>
      <c r="K254" s="126"/>
      <c r="L254" s="126"/>
      <c r="M254" s="126"/>
      <c r="N254" s="126"/>
      <c r="O254" s="126"/>
      <c r="P254" s="113" t="s">
        <v>1638</v>
      </c>
      <c r="Q254" s="113" t="s">
        <v>1046</v>
      </c>
      <c r="R254" s="113" t="s">
        <v>1110</v>
      </c>
      <c r="S254" s="113" t="s">
        <v>1639</v>
      </c>
      <c r="T254" s="56"/>
      <c r="U254" s="56"/>
      <c r="V254" s="56"/>
      <c r="W254" s="56"/>
    </row>
    <row r="255" spans="1:23" s="29" customFormat="1" x14ac:dyDescent="0.25">
      <c r="B255" s="86"/>
      <c r="C255" s="56"/>
      <c r="D255" s="56"/>
      <c r="E255" s="86"/>
      <c r="F255" s="86"/>
      <c r="G255" s="86"/>
      <c r="H255" s="86"/>
      <c r="I255" s="86"/>
      <c r="J255" s="86"/>
      <c r="K255" s="126"/>
      <c r="L255" s="126"/>
      <c r="M255" s="126"/>
      <c r="N255" s="126"/>
      <c r="O255" s="126"/>
      <c r="P255" s="113"/>
      <c r="Q255" s="113"/>
      <c r="R255" s="113"/>
      <c r="S255" s="113"/>
      <c r="T255" s="56"/>
      <c r="U255" s="56"/>
      <c r="V255" s="56"/>
      <c r="W255" s="56"/>
    </row>
    <row r="256" spans="1:23" s="29" customFormat="1" ht="16.5" thickBot="1" x14ac:dyDescent="0.3">
      <c r="B256" s="86"/>
      <c r="C256" s="56"/>
      <c r="D256" s="56"/>
      <c r="E256" s="86"/>
      <c r="F256" s="86"/>
      <c r="G256" s="86"/>
      <c r="H256" s="86"/>
      <c r="I256" s="86"/>
      <c r="J256" s="86"/>
      <c r="K256" s="126"/>
      <c r="L256" s="126"/>
      <c r="M256" s="126"/>
      <c r="N256" s="126"/>
      <c r="O256" s="126"/>
      <c r="P256" s="113"/>
      <c r="Q256" s="113"/>
      <c r="R256" s="113"/>
      <c r="S256" s="113"/>
      <c r="T256" s="56"/>
      <c r="U256" s="56"/>
      <c r="V256" s="56"/>
      <c r="W256" s="56"/>
    </row>
    <row r="257" spans="1:23" s="29" customFormat="1" ht="16.5" thickTop="1" x14ac:dyDescent="0.25">
      <c r="B257" s="128"/>
      <c r="C257" s="74"/>
      <c r="D257" s="74"/>
      <c r="E257" s="128"/>
      <c r="F257" s="128"/>
      <c r="G257" s="128"/>
      <c r="H257" s="128"/>
      <c r="I257" s="128"/>
      <c r="J257" s="128"/>
      <c r="K257" s="129"/>
      <c r="L257" s="129"/>
      <c r="M257" s="129"/>
      <c r="N257" s="129"/>
      <c r="O257" s="129"/>
      <c r="P257" s="143"/>
      <c r="Q257" s="143"/>
      <c r="R257" s="143"/>
      <c r="S257" s="143"/>
      <c r="T257" s="56"/>
      <c r="U257" s="56"/>
      <c r="V257" s="56"/>
      <c r="W257" s="56"/>
    </row>
    <row r="258" spans="1:23" s="29" customFormat="1" ht="15.75" customHeight="1" x14ac:dyDescent="0.25">
      <c r="B258" s="86" t="s">
        <v>500</v>
      </c>
      <c r="C258" s="86" t="s">
        <v>571</v>
      </c>
      <c r="D258" s="56" t="s">
        <v>361</v>
      </c>
      <c r="E258" s="86" t="s">
        <v>362</v>
      </c>
      <c r="F258" s="86"/>
      <c r="G258" s="132">
        <v>34</v>
      </c>
      <c r="H258" s="86"/>
      <c r="I258" s="132">
        <v>83</v>
      </c>
      <c r="J258" s="146">
        <v>2017</v>
      </c>
      <c r="K258" s="111"/>
      <c r="L258" s="111"/>
      <c r="M258" s="111"/>
      <c r="N258" s="111" t="s">
        <v>836</v>
      </c>
      <c r="O258" s="111" t="s">
        <v>1606</v>
      </c>
      <c r="P258" s="145" t="s">
        <v>1214</v>
      </c>
      <c r="Q258" s="145" t="s">
        <v>1046</v>
      </c>
      <c r="R258" s="71" t="s">
        <v>1595</v>
      </c>
      <c r="S258" s="71" t="s">
        <v>1454</v>
      </c>
      <c r="T258" s="56"/>
      <c r="U258" s="56"/>
      <c r="V258" s="56"/>
      <c r="W258" s="56"/>
    </row>
    <row r="259" spans="1:23" s="29" customFormat="1" x14ac:dyDescent="0.25">
      <c r="B259" s="86" t="s">
        <v>500</v>
      </c>
      <c r="C259" s="86" t="s">
        <v>571</v>
      </c>
      <c r="D259" s="56" t="s">
        <v>363</v>
      </c>
      <c r="E259" s="86" t="s">
        <v>364</v>
      </c>
      <c r="F259" s="86"/>
      <c r="G259" s="86">
        <v>34.299999999999997</v>
      </c>
      <c r="H259" s="86">
        <v>43.3</v>
      </c>
      <c r="I259" s="86">
        <v>52.4</v>
      </c>
      <c r="J259" s="86">
        <v>2012</v>
      </c>
      <c r="K259" s="126" t="s">
        <v>691</v>
      </c>
      <c r="L259" s="126" t="s">
        <v>837</v>
      </c>
      <c r="M259" s="126" t="s">
        <v>693</v>
      </c>
      <c r="N259" s="126" t="s">
        <v>697</v>
      </c>
      <c r="O259" s="126" t="s">
        <v>838</v>
      </c>
      <c r="P259" s="113" t="s">
        <v>1112</v>
      </c>
      <c r="Q259" s="113" t="s">
        <v>845</v>
      </c>
      <c r="R259" s="113" t="s">
        <v>561</v>
      </c>
      <c r="S259" s="113" t="s">
        <v>1111</v>
      </c>
      <c r="T259" s="56"/>
      <c r="U259" s="56"/>
      <c r="V259" s="56"/>
      <c r="W259" s="56"/>
    </row>
    <row r="260" spans="1:23" s="29" customFormat="1" x14ac:dyDescent="0.25">
      <c r="A260" s="32"/>
      <c r="B260" s="86" t="s">
        <v>500</v>
      </c>
      <c r="C260" s="86" t="s">
        <v>571</v>
      </c>
      <c r="D260" s="56" t="s">
        <v>365</v>
      </c>
      <c r="E260" s="86" t="s">
        <v>366</v>
      </c>
      <c r="F260" s="86"/>
      <c r="G260" s="86"/>
      <c r="H260" s="86">
        <v>56</v>
      </c>
      <c r="I260" s="86"/>
      <c r="J260" s="86">
        <v>2017</v>
      </c>
      <c r="K260" s="126" t="s">
        <v>702</v>
      </c>
      <c r="L260" s="126"/>
      <c r="M260" s="126"/>
      <c r="N260" s="126" t="s">
        <v>697</v>
      </c>
      <c r="O260" s="126">
        <v>288</v>
      </c>
      <c r="P260" s="113" t="s">
        <v>480</v>
      </c>
      <c r="Q260" s="113" t="s">
        <v>1046</v>
      </c>
      <c r="R260" s="113" t="s">
        <v>480</v>
      </c>
      <c r="S260" s="113" t="s">
        <v>1405</v>
      </c>
      <c r="T260" s="56"/>
      <c r="U260" s="56"/>
      <c r="V260" s="56"/>
      <c r="W260" s="56"/>
    </row>
    <row r="261" spans="1:23" s="29" customFormat="1" x14ac:dyDescent="0.25">
      <c r="A261" s="32"/>
      <c r="B261" s="86" t="s">
        <v>500</v>
      </c>
      <c r="C261" s="86" t="s">
        <v>571</v>
      </c>
      <c r="D261" s="56" t="s">
        <v>367</v>
      </c>
      <c r="E261" s="86" t="s">
        <v>943</v>
      </c>
      <c r="F261" s="86"/>
      <c r="G261" s="86"/>
      <c r="H261" s="86">
        <v>30</v>
      </c>
      <c r="I261" s="86"/>
      <c r="J261" s="86">
        <v>2016</v>
      </c>
      <c r="K261" s="126"/>
      <c r="L261" s="126"/>
      <c r="M261" s="126"/>
      <c r="N261" s="126" t="s">
        <v>697</v>
      </c>
      <c r="O261" s="126"/>
      <c r="P261" s="113" t="s">
        <v>480</v>
      </c>
      <c r="Q261" s="113" t="s">
        <v>1046</v>
      </c>
      <c r="R261" s="113" t="s">
        <v>1216</v>
      </c>
      <c r="S261" s="113" t="s">
        <v>508</v>
      </c>
      <c r="T261" s="56"/>
      <c r="U261" s="56"/>
      <c r="V261" s="56"/>
      <c r="W261" s="56"/>
    </row>
    <row r="262" spans="1:23" s="29" customFormat="1" x14ac:dyDescent="0.25">
      <c r="B262" s="86" t="s">
        <v>500</v>
      </c>
      <c r="C262" s="86" t="s">
        <v>571</v>
      </c>
      <c r="D262" s="56" t="s">
        <v>368</v>
      </c>
      <c r="E262" s="86" t="s">
        <v>369</v>
      </c>
      <c r="F262" s="86"/>
      <c r="G262" s="86"/>
      <c r="H262" s="86">
        <v>67</v>
      </c>
      <c r="I262" s="86"/>
      <c r="J262" s="86">
        <v>2006</v>
      </c>
      <c r="K262" s="126" t="s">
        <v>702</v>
      </c>
      <c r="L262" s="126"/>
      <c r="M262" s="126"/>
      <c r="N262" s="126" t="s">
        <v>697</v>
      </c>
      <c r="O262" s="126"/>
      <c r="P262" s="113" t="s">
        <v>1113</v>
      </c>
      <c r="Q262" s="113" t="s">
        <v>1046</v>
      </c>
      <c r="R262" s="113" t="s">
        <v>1114</v>
      </c>
      <c r="S262" s="113" t="s">
        <v>1115</v>
      </c>
      <c r="T262" s="56"/>
      <c r="U262" s="56"/>
      <c r="V262" s="56"/>
      <c r="W262" s="56"/>
    </row>
    <row r="263" spans="1:23" s="29" customFormat="1" ht="16.5" customHeight="1" x14ac:dyDescent="0.25">
      <c r="A263" s="32"/>
      <c r="B263" s="86" t="s">
        <v>500</v>
      </c>
      <c r="C263" s="86" t="s">
        <v>571</v>
      </c>
      <c r="D263" s="56" t="s">
        <v>370</v>
      </c>
      <c r="E263" s="86" t="s">
        <v>371</v>
      </c>
      <c r="F263" s="86"/>
      <c r="G263" s="86"/>
      <c r="H263" s="86">
        <v>79.7</v>
      </c>
      <c r="I263" s="86"/>
      <c r="J263" s="86">
        <v>2018</v>
      </c>
      <c r="K263" s="126"/>
      <c r="L263" s="126" t="s">
        <v>692</v>
      </c>
      <c r="M263" s="126" t="s">
        <v>693</v>
      </c>
      <c r="N263" s="126" t="s">
        <v>1407</v>
      </c>
      <c r="O263" s="126" t="s">
        <v>1409</v>
      </c>
      <c r="P263" s="113" t="s">
        <v>1176</v>
      </c>
      <c r="Q263" s="113" t="s">
        <v>845</v>
      </c>
      <c r="R263" s="145" t="s">
        <v>1596</v>
      </c>
      <c r="S263" s="145" t="s">
        <v>508</v>
      </c>
      <c r="T263" s="56"/>
      <c r="U263" s="56"/>
      <c r="V263" s="56"/>
      <c r="W263" s="56"/>
    </row>
    <row r="264" spans="1:23" s="29" customFormat="1" x14ac:dyDescent="0.25">
      <c r="B264" s="86" t="s">
        <v>500</v>
      </c>
      <c r="C264" s="86" t="s">
        <v>571</v>
      </c>
      <c r="D264" s="56" t="s">
        <v>373</v>
      </c>
      <c r="E264" s="86" t="s">
        <v>374</v>
      </c>
      <c r="F264" s="86"/>
      <c r="G264" s="86"/>
      <c r="H264" s="86">
        <v>75</v>
      </c>
      <c r="I264" s="86"/>
      <c r="J264" s="86">
        <v>2014</v>
      </c>
      <c r="K264" s="126"/>
      <c r="L264" s="126"/>
      <c r="M264" s="126"/>
      <c r="N264" s="126" t="s">
        <v>839</v>
      </c>
      <c r="O264" s="126">
        <v>600</v>
      </c>
      <c r="P264" s="113" t="s">
        <v>480</v>
      </c>
      <c r="Q264" s="113" t="s">
        <v>1053</v>
      </c>
      <c r="R264" s="145" t="s">
        <v>922</v>
      </c>
      <c r="S264" s="145" t="s">
        <v>1116</v>
      </c>
      <c r="T264" s="56"/>
      <c r="U264" s="56"/>
      <c r="V264" s="56"/>
      <c r="W264" s="56"/>
    </row>
    <row r="265" spans="1:23" s="29" customFormat="1" ht="15.75" customHeight="1" x14ac:dyDescent="0.25">
      <c r="B265" s="86" t="s">
        <v>500</v>
      </c>
      <c r="C265" s="86" t="s">
        <v>571</v>
      </c>
      <c r="D265" s="56" t="s">
        <v>375</v>
      </c>
      <c r="E265" s="86" t="s">
        <v>376</v>
      </c>
      <c r="F265" s="86"/>
      <c r="G265" s="86"/>
      <c r="H265" s="86">
        <v>63.8</v>
      </c>
      <c r="I265" s="86"/>
      <c r="J265" s="86">
        <v>2011</v>
      </c>
      <c r="K265" s="126" t="s">
        <v>702</v>
      </c>
      <c r="L265" s="126"/>
      <c r="M265" s="126"/>
      <c r="N265" s="126" t="s">
        <v>1117</v>
      </c>
      <c r="O265" s="138" t="s">
        <v>508</v>
      </c>
      <c r="P265" s="113" t="s">
        <v>480</v>
      </c>
      <c r="Q265" s="113" t="s">
        <v>1053</v>
      </c>
      <c r="R265" s="112" t="s">
        <v>1119</v>
      </c>
      <c r="S265" s="112" t="s">
        <v>1118</v>
      </c>
      <c r="T265" s="56" t="s">
        <v>508</v>
      </c>
      <c r="U265" s="56"/>
      <c r="V265" s="56"/>
      <c r="W265" s="56"/>
    </row>
    <row r="266" spans="1:23" s="29" customFormat="1" x14ac:dyDescent="0.25">
      <c r="A266" s="32"/>
      <c r="B266" s="86" t="s">
        <v>500</v>
      </c>
      <c r="C266" s="86" t="s">
        <v>571</v>
      </c>
      <c r="D266" s="56" t="s">
        <v>377</v>
      </c>
      <c r="E266" s="86" t="s">
        <v>378</v>
      </c>
      <c r="F266" s="86"/>
      <c r="G266" s="132">
        <v>36.9</v>
      </c>
      <c r="H266" s="86"/>
      <c r="I266" s="86">
        <v>73.099999999999994</v>
      </c>
      <c r="J266" s="125" t="s">
        <v>656</v>
      </c>
      <c r="K266" s="126" t="s">
        <v>691</v>
      </c>
      <c r="L266" s="126" t="s">
        <v>714</v>
      </c>
      <c r="M266" s="126" t="s">
        <v>693</v>
      </c>
      <c r="N266" s="126" t="s">
        <v>841</v>
      </c>
      <c r="O266" s="126" t="s">
        <v>842</v>
      </c>
      <c r="P266" s="113" t="s">
        <v>939</v>
      </c>
      <c r="Q266" s="113" t="s">
        <v>861</v>
      </c>
      <c r="R266" s="113" t="s">
        <v>657</v>
      </c>
      <c r="S266" s="113" t="s">
        <v>508</v>
      </c>
      <c r="T266" s="56"/>
      <c r="U266" s="56"/>
      <c r="V266" s="56"/>
      <c r="W266" s="56"/>
    </row>
    <row r="267" spans="1:23" s="29" customFormat="1" x14ac:dyDescent="0.25">
      <c r="A267" s="32"/>
      <c r="B267" s="86" t="s">
        <v>500</v>
      </c>
      <c r="C267" s="86" t="s">
        <v>571</v>
      </c>
      <c r="D267" s="56" t="s">
        <v>381</v>
      </c>
      <c r="E267" s="86" t="s">
        <v>382</v>
      </c>
      <c r="F267" s="86"/>
      <c r="G267" s="86"/>
      <c r="H267" s="86">
        <v>66.5</v>
      </c>
      <c r="I267" s="86"/>
      <c r="J267" s="86">
        <v>2017</v>
      </c>
      <c r="K267" s="126"/>
      <c r="L267" s="126"/>
      <c r="M267" s="126"/>
      <c r="N267" s="126" t="s">
        <v>697</v>
      </c>
      <c r="O267" s="126">
        <v>847</v>
      </c>
      <c r="P267" s="113" t="s">
        <v>600</v>
      </c>
      <c r="Q267" s="113" t="s">
        <v>1046</v>
      </c>
      <c r="R267" s="145" t="s">
        <v>1217</v>
      </c>
      <c r="S267" s="113"/>
      <c r="T267" s="56"/>
      <c r="U267" s="56"/>
      <c r="V267" s="56"/>
      <c r="W267" s="56"/>
    </row>
    <row r="268" spans="1:23" s="29" customFormat="1" x14ac:dyDescent="0.25">
      <c r="A268" s="32"/>
      <c r="B268" s="86" t="s">
        <v>500</v>
      </c>
      <c r="C268" s="86" t="s">
        <v>571</v>
      </c>
      <c r="D268" s="56" t="s">
        <v>385</v>
      </c>
      <c r="E268" s="86" t="s">
        <v>386</v>
      </c>
      <c r="F268" s="86"/>
      <c r="G268" s="86"/>
      <c r="H268" s="86">
        <v>49.73</v>
      </c>
      <c r="I268" s="86"/>
      <c r="J268" s="86">
        <v>2015</v>
      </c>
      <c r="K268" s="126"/>
      <c r="L268" s="126"/>
      <c r="M268" s="126" t="s">
        <v>693</v>
      </c>
      <c r="N268" s="126" t="s">
        <v>843</v>
      </c>
      <c r="O268" s="126">
        <v>559</v>
      </c>
      <c r="P268" s="113" t="s">
        <v>480</v>
      </c>
      <c r="Q268" s="113" t="s">
        <v>1053</v>
      </c>
      <c r="R268" s="113" t="s">
        <v>1122</v>
      </c>
      <c r="S268" s="113" t="s">
        <v>1120</v>
      </c>
      <c r="T268" s="56"/>
      <c r="U268" s="56"/>
      <c r="V268" s="56"/>
      <c r="W268" s="56"/>
    </row>
    <row r="269" spans="1:23" s="29" customFormat="1" x14ac:dyDescent="0.25">
      <c r="A269" s="32"/>
      <c r="B269" s="86" t="s">
        <v>500</v>
      </c>
      <c r="C269" s="86" t="s">
        <v>571</v>
      </c>
      <c r="D269" s="56" t="s">
        <v>387</v>
      </c>
      <c r="E269" s="86" t="s">
        <v>388</v>
      </c>
      <c r="F269" s="86"/>
      <c r="G269" s="86"/>
      <c r="H269" s="86">
        <v>12</v>
      </c>
      <c r="I269" s="86"/>
      <c r="J269" s="86">
        <v>2017</v>
      </c>
      <c r="K269" s="126"/>
      <c r="L269" s="126"/>
      <c r="M269" s="126"/>
      <c r="N269" s="126" t="s">
        <v>697</v>
      </c>
      <c r="O269" s="126"/>
      <c r="P269" s="113" t="s">
        <v>480</v>
      </c>
      <c r="Q269" s="113" t="s">
        <v>1046</v>
      </c>
      <c r="R269" s="113" t="s">
        <v>1123</v>
      </c>
      <c r="S269" s="113" t="s">
        <v>1219</v>
      </c>
      <c r="T269" s="56" t="s">
        <v>508</v>
      </c>
      <c r="U269" s="56"/>
      <c r="V269" s="56"/>
      <c r="W269" s="56"/>
    </row>
    <row r="270" spans="1:23" s="29" customFormat="1" x14ac:dyDescent="0.25">
      <c r="A270" s="32"/>
      <c r="B270" s="86" t="s">
        <v>500</v>
      </c>
      <c r="C270" s="86" t="s">
        <v>571</v>
      </c>
      <c r="D270" s="56" t="s">
        <v>389</v>
      </c>
      <c r="E270" s="86" t="s">
        <v>390</v>
      </c>
      <c r="F270" s="86"/>
      <c r="G270" s="86"/>
      <c r="H270" s="86">
        <v>76</v>
      </c>
      <c r="I270" s="86"/>
      <c r="J270" s="86">
        <v>2014</v>
      </c>
      <c r="K270" s="126" t="s">
        <v>702</v>
      </c>
      <c r="L270" s="126"/>
      <c r="M270" s="126" t="s">
        <v>693</v>
      </c>
      <c r="N270" s="126" t="s">
        <v>697</v>
      </c>
      <c r="O270" s="126" t="s">
        <v>508</v>
      </c>
      <c r="P270" s="113" t="s">
        <v>670</v>
      </c>
      <c r="Q270" s="113" t="s">
        <v>1046</v>
      </c>
      <c r="R270" s="113" t="s">
        <v>984</v>
      </c>
      <c r="S270" s="113" t="s">
        <v>1124</v>
      </c>
      <c r="T270" s="56"/>
      <c r="U270" s="56"/>
      <c r="V270" s="56"/>
      <c r="W270" s="56"/>
    </row>
    <row r="271" spans="1:23" s="29" customFormat="1" x14ac:dyDescent="0.25">
      <c r="A271" s="32"/>
      <c r="B271" s="86" t="s">
        <v>500</v>
      </c>
      <c r="C271" s="86" t="s">
        <v>571</v>
      </c>
      <c r="D271" s="56" t="s">
        <v>393</v>
      </c>
      <c r="E271" s="86" t="s">
        <v>394</v>
      </c>
      <c r="F271" s="86"/>
      <c r="G271" s="86"/>
      <c r="H271" s="86">
        <v>60.66</v>
      </c>
      <c r="I271" s="86"/>
      <c r="J271" s="86">
        <v>2018</v>
      </c>
      <c r="K271" s="126"/>
      <c r="L271" s="126"/>
      <c r="M271" s="126"/>
      <c r="N271" s="126"/>
      <c r="O271" s="126"/>
      <c r="P271" s="113" t="s">
        <v>480</v>
      </c>
      <c r="Q271" s="113" t="s">
        <v>1046</v>
      </c>
      <c r="R271" s="145" t="s">
        <v>1225</v>
      </c>
      <c r="S271" s="145" t="s">
        <v>508</v>
      </c>
      <c r="T271" s="56"/>
      <c r="U271" s="56"/>
      <c r="V271" s="56"/>
      <c r="W271" s="56"/>
    </row>
    <row r="272" spans="1:23" s="29" customFormat="1" x14ac:dyDescent="0.25">
      <c r="A272" s="32"/>
      <c r="B272" s="86" t="s">
        <v>500</v>
      </c>
      <c r="C272" s="86" t="s">
        <v>571</v>
      </c>
      <c r="D272" s="56" t="s">
        <v>395</v>
      </c>
      <c r="E272" s="86" t="s">
        <v>396</v>
      </c>
      <c r="F272" s="86"/>
      <c r="G272" s="132" t="s">
        <v>508</v>
      </c>
      <c r="H272" s="86">
        <v>85.2</v>
      </c>
      <c r="I272" s="86" t="s">
        <v>508</v>
      </c>
      <c r="J272" s="130">
        <v>2017</v>
      </c>
      <c r="K272" s="131" t="s">
        <v>1414</v>
      </c>
      <c r="L272" s="131" t="s">
        <v>508</v>
      </c>
      <c r="M272" s="131" t="s">
        <v>693</v>
      </c>
      <c r="N272" s="131" t="s">
        <v>1413</v>
      </c>
      <c r="O272" s="131" t="s">
        <v>1415</v>
      </c>
      <c r="P272" s="113" t="s">
        <v>633</v>
      </c>
      <c r="Q272" s="113" t="s">
        <v>961</v>
      </c>
      <c r="R272" s="113" t="s">
        <v>1207</v>
      </c>
      <c r="S272" s="113" t="s">
        <v>1416</v>
      </c>
      <c r="T272" s="56"/>
      <c r="U272" s="113" t="s">
        <v>927</v>
      </c>
      <c r="V272" s="56"/>
      <c r="W272" s="56"/>
    </row>
    <row r="273" spans="1:23" s="29" customFormat="1" x14ac:dyDescent="0.25">
      <c r="A273" s="32"/>
      <c r="B273" s="86" t="s">
        <v>500</v>
      </c>
      <c r="C273" s="86" t="s">
        <v>571</v>
      </c>
      <c r="D273" s="56" t="s">
        <v>399</v>
      </c>
      <c r="E273" s="86" t="s">
        <v>400</v>
      </c>
      <c r="F273" s="86"/>
      <c r="G273" s="86"/>
      <c r="H273" s="86">
        <v>86</v>
      </c>
      <c r="I273" s="86"/>
      <c r="J273" s="86">
        <v>2018</v>
      </c>
      <c r="K273" s="126"/>
      <c r="L273" s="126"/>
      <c r="M273" s="126"/>
      <c r="N273" s="126" t="s">
        <v>1524</v>
      </c>
      <c r="O273" s="126"/>
      <c r="P273" s="113" t="s">
        <v>507</v>
      </c>
      <c r="Q273" s="113" t="s">
        <v>856</v>
      </c>
      <c r="R273" s="113" t="s">
        <v>1525</v>
      </c>
      <c r="S273" s="113"/>
      <c r="T273" s="56"/>
      <c r="U273" s="56"/>
      <c r="V273" s="56"/>
      <c r="W273" s="56"/>
    </row>
    <row r="274" spans="1:23" s="29" customFormat="1" x14ac:dyDescent="0.25">
      <c r="A274" s="32"/>
      <c r="B274" s="86" t="s">
        <v>500</v>
      </c>
      <c r="C274" s="86" t="s">
        <v>571</v>
      </c>
      <c r="D274" s="56" t="s">
        <v>401</v>
      </c>
      <c r="E274" s="86" t="s">
        <v>402</v>
      </c>
      <c r="F274" s="86"/>
      <c r="G274" s="86"/>
      <c r="H274" s="86">
        <v>75.8</v>
      </c>
      <c r="I274" s="86"/>
      <c r="J274" s="86">
        <v>2017</v>
      </c>
      <c r="K274" s="126" t="s">
        <v>702</v>
      </c>
      <c r="L274" s="126"/>
      <c r="M274" s="126"/>
      <c r="N274" s="126" t="s">
        <v>697</v>
      </c>
      <c r="O274" s="126"/>
      <c r="P274" s="113" t="s">
        <v>1460</v>
      </c>
      <c r="Q274" s="113" t="s">
        <v>961</v>
      </c>
      <c r="R274" s="56" t="s">
        <v>1607</v>
      </c>
      <c r="S274" s="113"/>
      <c r="T274" s="56"/>
      <c r="U274" s="56"/>
      <c r="V274" s="56"/>
      <c r="W274" s="56"/>
    </row>
    <row r="275" spans="1:23" s="29" customFormat="1" x14ac:dyDescent="0.25">
      <c r="B275" s="86" t="s">
        <v>500</v>
      </c>
      <c r="C275" s="86" t="s">
        <v>571</v>
      </c>
      <c r="D275" s="56" t="s">
        <v>403</v>
      </c>
      <c r="E275" s="86" t="s">
        <v>404</v>
      </c>
      <c r="F275" s="86"/>
      <c r="G275" s="86"/>
      <c r="H275" s="86">
        <v>46</v>
      </c>
      <c r="I275" s="86"/>
      <c r="J275" s="86">
        <v>2016</v>
      </c>
      <c r="K275" s="126"/>
      <c r="L275" s="126"/>
      <c r="M275" s="126"/>
      <c r="N275" s="126" t="s">
        <v>697</v>
      </c>
      <c r="O275" s="126"/>
      <c r="P275" s="113" t="s">
        <v>480</v>
      </c>
      <c r="Q275" s="113" t="s">
        <v>1046</v>
      </c>
      <c r="R275" s="113" t="s">
        <v>1125</v>
      </c>
      <c r="S275" s="145" t="s">
        <v>1321</v>
      </c>
      <c r="T275" s="56"/>
      <c r="U275" s="56"/>
      <c r="V275" s="56"/>
      <c r="W275" s="56"/>
    </row>
    <row r="276" spans="1:23" s="43" customFormat="1" x14ac:dyDescent="0.25">
      <c r="A276" s="62"/>
      <c r="B276" s="151" t="s">
        <v>500</v>
      </c>
      <c r="C276" s="151" t="s">
        <v>571</v>
      </c>
      <c r="D276" s="146" t="s">
        <v>409</v>
      </c>
      <c r="E276" s="151" t="s">
        <v>410</v>
      </c>
      <c r="F276" s="151"/>
      <c r="G276" s="151"/>
      <c r="H276" s="151">
        <v>49.7</v>
      </c>
      <c r="I276" s="151"/>
      <c r="J276" s="146">
        <v>2017</v>
      </c>
      <c r="K276" s="146"/>
      <c r="L276" s="146"/>
      <c r="M276" s="146"/>
      <c r="N276" s="146" t="s">
        <v>697</v>
      </c>
      <c r="O276" s="146">
        <v>6104</v>
      </c>
      <c r="P276" s="145" t="s">
        <v>480</v>
      </c>
      <c r="Q276" s="145" t="s">
        <v>1451</v>
      </c>
      <c r="R276" s="142" t="s">
        <v>1126</v>
      </c>
      <c r="S276" s="142" t="s">
        <v>1452</v>
      </c>
      <c r="T276" s="146"/>
      <c r="U276" s="146"/>
      <c r="V276" s="146"/>
      <c r="W276" s="146"/>
    </row>
    <row r="277" spans="1:23" s="29" customFormat="1" x14ac:dyDescent="0.25">
      <c r="A277" s="62"/>
      <c r="B277" s="86" t="s">
        <v>500</v>
      </c>
      <c r="C277" s="86" t="s">
        <v>571</v>
      </c>
      <c r="D277" s="56" t="s">
        <v>407</v>
      </c>
      <c r="E277" s="86" t="s">
        <v>408</v>
      </c>
      <c r="F277" s="86"/>
      <c r="G277" s="132"/>
      <c r="H277" s="86">
        <v>85.7</v>
      </c>
      <c r="I277" s="86"/>
      <c r="J277" s="86">
        <v>2017</v>
      </c>
      <c r="K277" s="126"/>
      <c r="L277" s="126"/>
      <c r="M277" s="126"/>
      <c r="N277" s="126" t="s">
        <v>844</v>
      </c>
      <c r="O277" s="126"/>
      <c r="P277" s="113" t="s">
        <v>484</v>
      </c>
      <c r="Q277" s="113" t="s">
        <v>1046</v>
      </c>
      <c r="R277" s="113" t="s">
        <v>1461</v>
      </c>
      <c r="S277" s="113" t="s">
        <v>1608</v>
      </c>
      <c r="T277" s="56"/>
      <c r="U277" s="56"/>
      <c r="V277" s="56"/>
      <c r="W277" s="56"/>
    </row>
    <row r="278" spans="1:23" s="29" customFormat="1" x14ac:dyDescent="0.25">
      <c r="A278" s="32"/>
      <c r="B278" s="86" t="s">
        <v>500</v>
      </c>
      <c r="C278" s="86" t="s">
        <v>571</v>
      </c>
      <c r="D278" s="56" t="s">
        <v>411</v>
      </c>
      <c r="E278" s="86" t="s">
        <v>412</v>
      </c>
      <c r="F278" s="86"/>
      <c r="G278" s="86"/>
      <c r="H278" s="86">
        <v>57.6</v>
      </c>
      <c r="I278" s="86"/>
      <c r="J278" s="86">
        <v>2017</v>
      </c>
      <c r="K278" s="126" t="s">
        <v>702</v>
      </c>
      <c r="L278" s="126" t="s">
        <v>804</v>
      </c>
      <c r="M278" s="126" t="s">
        <v>693</v>
      </c>
      <c r="N278" s="126" t="s">
        <v>1422</v>
      </c>
      <c r="O278" s="126">
        <v>172</v>
      </c>
      <c r="P278" s="113" t="s">
        <v>1067</v>
      </c>
      <c r="Q278" s="113" t="s">
        <v>1423</v>
      </c>
      <c r="R278" s="113" t="s">
        <v>1599</v>
      </c>
      <c r="S278" s="113"/>
      <c r="T278" s="56"/>
      <c r="U278" s="56"/>
      <c r="V278" s="56"/>
      <c r="W278" s="56"/>
    </row>
    <row r="279" spans="1:23" s="29" customFormat="1" x14ac:dyDescent="0.25">
      <c r="A279" s="32"/>
      <c r="B279" s="86" t="s">
        <v>500</v>
      </c>
      <c r="C279" s="86" t="s">
        <v>571</v>
      </c>
      <c r="D279" s="56" t="s">
        <v>413</v>
      </c>
      <c r="E279" s="86" t="s">
        <v>414</v>
      </c>
      <c r="F279" s="86"/>
      <c r="G279" s="86"/>
      <c r="H279" s="86">
        <v>70.02</v>
      </c>
      <c r="I279" s="86"/>
      <c r="J279" s="130">
        <v>2018</v>
      </c>
      <c r="K279" s="131" t="s">
        <v>702</v>
      </c>
      <c r="L279" s="131"/>
      <c r="M279" s="131"/>
      <c r="N279" s="131" t="s">
        <v>697</v>
      </c>
      <c r="O279" s="131">
        <v>7914</v>
      </c>
      <c r="P279" s="113" t="s">
        <v>480</v>
      </c>
      <c r="Q279" s="113" t="s">
        <v>855</v>
      </c>
      <c r="R279" s="145" t="s">
        <v>1220</v>
      </c>
      <c r="S279" s="145" t="s">
        <v>1427</v>
      </c>
      <c r="T279" s="56" t="s">
        <v>508</v>
      </c>
      <c r="U279" s="56"/>
      <c r="V279" s="56"/>
      <c r="W279" s="56"/>
    </row>
    <row r="280" spans="1:23" s="29" customFormat="1" x14ac:dyDescent="0.25">
      <c r="A280" s="32"/>
      <c r="B280" s="86" t="s">
        <v>500</v>
      </c>
      <c r="C280" s="86" t="s">
        <v>571</v>
      </c>
      <c r="D280" s="56" t="s">
        <v>417</v>
      </c>
      <c r="E280" s="86" t="s">
        <v>418</v>
      </c>
      <c r="F280" s="86"/>
      <c r="G280" s="86"/>
      <c r="H280" s="86">
        <v>42.3</v>
      </c>
      <c r="I280" s="86"/>
      <c r="J280" s="86">
        <v>2017</v>
      </c>
      <c r="K280" s="126"/>
      <c r="L280" s="126"/>
      <c r="M280" s="126"/>
      <c r="N280" s="126" t="s">
        <v>844</v>
      </c>
      <c r="O280" s="126"/>
      <c r="P280" s="113" t="s">
        <v>484</v>
      </c>
      <c r="Q280" s="113" t="s">
        <v>1046</v>
      </c>
      <c r="R280" s="113" t="s">
        <v>1462</v>
      </c>
      <c r="S280" s="113" t="s">
        <v>1463</v>
      </c>
      <c r="T280" s="56"/>
      <c r="U280" s="56"/>
      <c r="V280" s="56"/>
      <c r="W280" s="56"/>
    </row>
    <row r="281" spans="1:23" s="29" customFormat="1" x14ac:dyDescent="0.25">
      <c r="A281" s="32"/>
      <c r="B281" s="86" t="s">
        <v>500</v>
      </c>
      <c r="C281" s="86" t="s">
        <v>571</v>
      </c>
      <c r="D281" s="56" t="s">
        <v>419</v>
      </c>
      <c r="E281" s="86" t="s">
        <v>420</v>
      </c>
      <c r="F281" s="86"/>
      <c r="G281" s="86"/>
      <c r="H281" s="86">
        <v>48.2</v>
      </c>
      <c r="I281" s="86"/>
      <c r="J281" s="86">
        <v>2016</v>
      </c>
      <c r="K281" s="126"/>
      <c r="L281" s="126"/>
      <c r="M281" s="126"/>
      <c r="N281" s="126" t="s">
        <v>697</v>
      </c>
      <c r="O281" s="126"/>
      <c r="P281" s="113" t="s">
        <v>1222</v>
      </c>
      <c r="Q281" s="113" t="s">
        <v>1182</v>
      </c>
      <c r="R281" s="113" t="s">
        <v>1223</v>
      </c>
      <c r="S281" s="113" t="s">
        <v>1183</v>
      </c>
      <c r="T281" s="56"/>
      <c r="U281" s="56"/>
      <c r="V281" s="56"/>
      <c r="W281" s="56"/>
    </row>
    <row r="282" spans="1:23" s="29" customFormat="1" x14ac:dyDescent="0.25">
      <c r="A282" s="32"/>
      <c r="B282" s="86" t="s">
        <v>500</v>
      </c>
      <c r="C282" s="86" t="s">
        <v>571</v>
      </c>
      <c r="D282" s="56" t="s">
        <v>415</v>
      </c>
      <c r="E282" s="86" t="s">
        <v>416</v>
      </c>
      <c r="F282" s="86"/>
      <c r="G282" s="86"/>
      <c r="H282" s="86">
        <v>61.4</v>
      </c>
      <c r="I282" s="86"/>
      <c r="J282" s="86">
        <v>2017</v>
      </c>
      <c r="K282" s="126"/>
      <c r="L282" s="126"/>
      <c r="M282" s="126"/>
      <c r="N282" s="126" t="s">
        <v>697</v>
      </c>
      <c r="O282" s="126">
        <v>5946</v>
      </c>
      <c r="P282" s="113" t="s">
        <v>1012</v>
      </c>
      <c r="Q282" s="113" t="s">
        <v>1046</v>
      </c>
      <c r="R282" s="150" t="s">
        <v>1432</v>
      </c>
      <c r="S282" s="113" t="s">
        <v>1431</v>
      </c>
      <c r="T282" s="56"/>
      <c r="U282" s="56"/>
      <c r="V282" s="56"/>
      <c r="W282" s="56"/>
    </row>
    <row r="283" spans="1:23" s="29" customFormat="1" x14ac:dyDescent="0.25">
      <c r="B283" s="86" t="s">
        <v>500</v>
      </c>
      <c r="C283" s="86" t="s">
        <v>571</v>
      </c>
      <c r="D283" s="56" t="s">
        <v>421</v>
      </c>
      <c r="E283" s="86" t="s">
        <v>422</v>
      </c>
      <c r="F283" s="86"/>
      <c r="G283" s="86"/>
      <c r="H283" s="86">
        <v>54.6</v>
      </c>
      <c r="I283" s="86"/>
      <c r="J283" s="86">
        <v>2015</v>
      </c>
      <c r="K283" s="126"/>
      <c r="L283" s="126"/>
      <c r="M283" s="126"/>
      <c r="N283" s="126" t="s">
        <v>697</v>
      </c>
      <c r="O283" s="126"/>
      <c r="P283" s="113" t="s">
        <v>927</v>
      </c>
      <c r="Q283" s="113" t="s">
        <v>1046</v>
      </c>
      <c r="R283" s="113" t="s">
        <v>1127</v>
      </c>
      <c r="S283" s="113" t="s">
        <v>931</v>
      </c>
      <c r="T283" s="56"/>
      <c r="U283" s="56" t="s">
        <v>927</v>
      </c>
      <c r="V283" s="56"/>
      <c r="W283" s="56"/>
    </row>
    <row r="284" spans="1:23" s="29" customFormat="1" x14ac:dyDescent="0.25">
      <c r="A284" s="32"/>
      <c r="B284" s="86" t="s">
        <v>500</v>
      </c>
      <c r="C284" s="86" t="s">
        <v>571</v>
      </c>
      <c r="D284" s="56" t="s">
        <v>423</v>
      </c>
      <c r="E284" s="86" t="s">
        <v>424</v>
      </c>
      <c r="F284" s="86"/>
      <c r="G284" s="86"/>
      <c r="H284" s="86">
        <v>74.599999999999994</v>
      </c>
      <c r="I284" s="86"/>
      <c r="J284" s="86">
        <v>2016</v>
      </c>
      <c r="K284" s="126" t="s">
        <v>1129</v>
      </c>
      <c r="L284" s="126" t="s">
        <v>692</v>
      </c>
      <c r="M284" s="126" t="s">
        <v>693</v>
      </c>
      <c r="N284" s="126" t="s">
        <v>697</v>
      </c>
      <c r="O284" s="126"/>
      <c r="P284" s="113" t="s">
        <v>611</v>
      </c>
      <c r="Q284" s="113" t="s">
        <v>1046</v>
      </c>
      <c r="R284" s="111" t="s">
        <v>1019</v>
      </c>
      <c r="S284" s="111" t="s">
        <v>1128</v>
      </c>
      <c r="T284" s="56"/>
      <c r="U284" s="56"/>
      <c r="V284" s="56"/>
      <c r="W284" s="56"/>
    </row>
    <row r="285" spans="1:23" s="29" customFormat="1" x14ac:dyDescent="0.25">
      <c r="B285" s="86" t="s">
        <v>500</v>
      </c>
      <c r="C285" s="86" t="s">
        <v>571</v>
      </c>
      <c r="D285" s="56" t="s">
        <v>426</v>
      </c>
      <c r="E285" s="86" t="s">
        <v>936</v>
      </c>
      <c r="F285" s="86"/>
      <c r="G285" s="86"/>
      <c r="H285" s="86">
        <v>51</v>
      </c>
      <c r="I285" s="86"/>
      <c r="J285" s="86">
        <v>2017</v>
      </c>
      <c r="K285" s="126"/>
      <c r="L285" s="126"/>
      <c r="M285" s="126" t="s">
        <v>693</v>
      </c>
      <c r="N285" s="126" t="s">
        <v>1133</v>
      </c>
      <c r="O285" s="138">
        <v>2655</v>
      </c>
      <c r="P285" s="113" t="s">
        <v>1213</v>
      </c>
      <c r="Q285" s="113" t="s">
        <v>846</v>
      </c>
      <c r="R285" s="113" t="s">
        <v>1601</v>
      </c>
      <c r="S285" s="113" t="s">
        <v>1436</v>
      </c>
      <c r="T285" s="56"/>
      <c r="U285" s="56" t="s">
        <v>937</v>
      </c>
      <c r="V285" s="56"/>
      <c r="W285" s="56"/>
    </row>
    <row r="286" spans="1:23" s="29" customFormat="1" x14ac:dyDescent="0.25">
      <c r="A286" s="32"/>
      <c r="B286" s="86" t="s">
        <v>500</v>
      </c>
      <c r="C286" s="86" t="s">
        <v>571</v>
      </c>
      <c r="D286" s="56" t="s">
        <v>426</v>
      </c>
      <c r="E286" s="86" t="s">
        <v>425</v>
      </c>
      <c r="F286" s="86"/>
      <c r="G286" s="86"/>
      <c r="H286" s="86">
        <v>58</v>
      </c>
      <c r="I286" s="86"/>
      <c r="J286" s="125" t="s">
        <v>638</v>
      </c>
      <c r="K286" s="126" t="s">
        <v>702</v>
      </c>
      <c r="L286" s="126"/>
      <c r="M286" s="126" t="s">
        <v>693</v>
      </c>
      <c r="N286" s="126" t="s">
        <v>1029</v>
      </c>
      <c r="O286" s="138">
        <v>2622</v>
      </c>
      <c r="P286" s="113" t="s">
        <v>938</v>
      </c>
      <c r="Q286" s="113" t="s">
        <v>846</v>
      </c>
      <c r="R286" s="113" t="s">
        <v>1032</v>
      </c>
      <c r="S286" s="113" t="s">
        <v>1134</v>
      </c>
      <c r="T286" s="56"/>
      <c r="U286" s="56" t="s">
        <v>1033</v>
      </c>
      <c r="V286" s="56"/>
      <c r="W286" s="56"/>
    </row>
    <row r="287" spans="1:23" s="29" customFormat="1" x14ac:dyDescent="0.25">
      <c r="A287" s="32"/>
      <c r="B287" s="86"/>
      <c r="C287" s="86"/>
      <c r="D287" s="56"/>
      <c r="E287" s="86"/>
      <c r="F287" s="86"/>
      <c r="G287" s="86"/>
      <c r="H287" s="86"/>
      <c r="I287" s="86"/>
      <c r="J287" s="86"/>
      <c r="K287" s="126"/>
      <c r="L287" s="126"/>
      <c r="M287" s="126"/>
      <c r="N287" s="126"/>
      <c r="O287" s="126"/>
      <c r="P287" s="113"/>
      <c r="Q287" s="113"/>
      <c r="R287" s="113"/>
      <c r="S287" s="113"/>
      <c r="T287" s="56"/>
      <c r="U287" s="56"/>
      <c r="V287" s="56"/>
      <c r="W287" s="56"/>
    </row>
    <row r="288" spans="1:23" s="29" customFormat="1" x14ac:dyDescent="0.25">
      <c r="B288" s="86"/>
      <c r="C288" s="86"/>
      <c r="D288" s="56"/>
      <c r="E288" s="86"/>
      <c r="F288" s="86"/>
      <c r="G288" s="86"/>
      <c r="H288" s="86"/>
      <c r="I288" s="86"/>
      <c r="J288" s="86"/>
      <c r="K288" s="126"/>
      <c r="L288" s="126"/>
      <c r="M288" s="126"/>
      <c r="N288" s="126"/>
      <c r="O288" s="126"/>
      <c r="P288" s="113"/>
      <c r="Q288" s="113"/>
      <c r="R288" s="113"/>
      <c r="S288" s="113"/>
      <c r="T288" s="56"/>
      <c r="U288" s="56"/>
      <c r="V288" s="56"/>
      <c r="W288" s="56"/>
    </row>
    <row r="289" spans="1:23" s="29" customFormat="1" x14ac:dyDescent="0.25">
      <c r="B289" s="86" t="s">
        <v>500</v>
      </c>
      <c r="C289" s="86" t="s">
        <v>571</v>
      </c>
      <c r="D289" s="56" t="s">
        <v>359</v>
      </c>
      <c r="E289" s="86" t="s">
        <v>360</v>
      </c>
      <c r="F289" s="86"/>
      <c r="G289" s="86"/>
      <c r="H289" s="69" t="s">
        <v>1645</v>
      </c>
      <c r="I289" s="86"/>
      <c r="J289" s="86"/>
      <c r="K289" s="126"/>
      <c r="L289" s="126"/>
      <c r="M289" s="126"/>
      <c r="N289" s="126"/>
      <c r="O289" s="126"/>
      <c r="P289" s="113"/>
      <c r="Q289" s="113"/>
      <c r="R289" s="113"/>
      <c r="S289" s="113"/>
      <c r="T289" s="56"/>
      <c r="U289" s="56"/>
      <c r="V289" s="56"/>
      <c r="W289" s="56"/>
    </row>
    <row r="290" spans="1:23" s="29" customFormat="1" x14ac:dyDescent="0.25">
      <c r="B290" s="86" t="s">
        <v>500</v>
      </c>
      <c r="C290" s="86" t="s">
        <v>571</v>
      </c>
      <c r="D290" s="56" t="s">
        <v>430</v>
      </c>
      <c r="E290" s="86" t="s">
        <v>431</v>
      </c>
      <c r="F290" s="86"/>
      <c r="G290" s="86"/>
      <c r="H290" s="69" t="s">
        <v>1645</v>
      </c>
      <c r="I290" s="86"/>
      <c r="J290" s="86"/>
      <c r="K290" s="126"/>
      <c r="L290" s="126"/>
      <c r="M290" s="126"/>
      <c r="N290" s="126"/>
      <c r="O290" s="126"/>
      <c r="P290" s="113"/>
      <c r="Q290" s="113"/>
      <c r="R290" s="113"/>
      <c r="S290" s="113"/>
      <c r="T290" s="56"/>
      <c r="U290" s="56"/>
      <c r="V290" s="56"/>
      <c r="W290" s="56"/>
    </row>
    <row r="291" spans="1:23" s="29" customFormat="1" x14ac:dyDescent="0.25">
      <c r="B291" s="86" t="s">
        <v>500</v>
      </c>
      <c r="C291" s="86" t="s">
        <v>571</v>
      </c>
      <c r="D291" s="56" t="s">
        <v>372</v>
      </c>
      <c r="E291" s="86" t="s">
        <v>1010</v>
      </c>
      <c r="F291" s="86"/>
      <c r="G291" s="86"/>
      <c r="H291" s="69" t="s">
        <v>1645</v>
      </c>
      <c r="I291" s="86"/>
      <c r="J291" s="86"/>
      <c r="K291" s="126"/>
      <c r="L291" s="126"/>
      <c r="M291" s="126"/>
      <c r="N291" s="126"/>
      <c r="O291" s="126"/>
      <c r="P291" s="113"/>
      <c r="Q291" s="113"/>
      <c r="R291" s="113"/>
      <c r="S291" s="113"/>
      <c r="T291" s="56"/>
      <c r="U291" s="56"/>
      <c r="V291" s="56"/>
      <c r="W291" s="56"/>
    </row>
    <row r="292" spans="1:23" s="29" customFormat="1" x14ac:dyDescent="0.25">
      <c r="B292" s="86" t="s">
        <v>500</v>
      </c>
      <c r="C292" s="86" t="s">
        <v>571</v>
      </c>
      <c r="D292" s="56" t="s">
        <v>379</v>
      </c>
      <c r="E292" s="86" t="s">
        <v>380</v>
      </c>
      <c r="F292" s="86"/>
      <c r="G292" s="86"/>
      <c r="H292" s="69" t="s">
        <v>1645</v>
      </c>
      <c r="I292" s="86"/>
      <c r="J292" s="86"/>
      <c r="K292" s="126"/>
      <c r="L292" s="126"/>
      <c r="M292" s="126"/>
      <c r="N292" s="126"/>
      <c r="O292" s="126"/>
      <c r="P292" s="113"/>
      <c r="Q292" s="113"/>
      <c r="R292" s="113"/>
      <c r="S292" s="113"/>
      <c r="T292" s="56"/>
      <c r="U292" s="56"/>
      <c r="V292" s="56"/>
      <c r="W292" s="56"/>
    </row>
    <row r="293" spans="1:23" s="29" customFormat="1" x14ac:dyDescent="0.25">
      <c r="B293" s="86" t="s">
        <v>500</v>
      </c>
      <c r="C293" s="56" t="s">
        <v>571</v>
      </c>
      <c r="D293" s="56" t="s">
        <v>1623</v>
      </c>
      <c r="E293" s="56" t="s">
        <v>1624</v>
      </c>
      <c r="F293" s="86"/>
      <c r="G293" s="86"/>
      <c r="H293" s="69" t="s">
        <v>1645</v>
      </c>
      <c r="I293" s="86"/>
      <c r="J293" s="86"/>
      <c r="K293" s="126"/>
      <c r="L293" s="126"/>
      <c r="M293" s="126"/>
      <c r="N293" s="126"/>
      <c r="O293" s="126"/>
      <c r="P293" s="113"/>
      <c r="Q293" s="113"/>
      <c r="R293" s="113"/>
      <c r="S293" s="113"/>
      <c r="T293" s="56"/>
      <c r="U293" s="56"/>
      <c r="V293" s="56"/>
      <c r="W293" s="56"/>
    </row>
    <row r="294" spans="1:23" s="29" customFormat="1" x14ac:dyDescent="0.25">
      <c r="B294" s="86" t="s">
        <v>500</v>
      </c>
      <c r="C294" s="86" t="s">
        <v>571</v>
      </c>
      <c r="D294" s="56" t="s">
        <v>391</v>
      </c>
      <c r="E294" s="86" t="s">
        <v>392</v>
      </c>
      <c r="F294" s="86"/>
      <c r="G294" s="86"/>
      <c r="H294" s="69" t="s">
        <v>1645</v>
      </c>
      <c r="I294" s="86"/>
      <c r="J294" s="86"/>
      <c r="K294" s="126"/>
      <c r="L294" s="126"/>
      <c r="M294" s="126"/>
      <c r="N294" s="126"/>
      <c r="O294" s="126"/>
      <c r="P294" s="113"/>
      <c r="Q294" s="113"/>
      <c r="R294" s="113"/>
      <c r="S294" s="113"/>
      <c r="T294" s="56"/>
      <c r="U294" s="56"/>
      <c r="V294" s="56"/>
      <c r="W294" s="56"/>
    </row>
    <row r="295" spans="1:23" s="29" customFormat="1" x14ac:dyDescent="0.25">
      <c r="B295" s="86" t="s">
        <v>500</v>
      </c>
      <c r="C295" s="86" t="s">
        <v>571</v>
      </c>
      <c r="D295" s="56" t="s">
        <v>397</v>
      </c>
      <c r="E295" s="86" t="s">
        <v>398</v>
      </c>
      <c r="F295" s="86"/>
      <c r="G295" s="86"/>
      <c r="H295" s="69" t="s">
        <v>1645</v>
      </c>
      <c r="I295" s="86"/>
      <c r="J295" s="86"/>
      <c r="K295" s="126"/>
      <c r="L295" s="126"/>
      <c r="M295" s="126"/>
      <c r="N295" s="126"/>
      <c r="O295" s="126"/>
      <c r="P295" s="113"/>
      <c r="Q295" s="113"/>
      <c r="R295" s="113"/>
      <c r="S295" s="113"/>
      <c r="T295" s="56"/>
      <c r="U295" s="56"/>
      <c r="V295" s="56"/>
      <c r="W295" s="56"/>
    </row>
    <row r="296" spans="1:23" s="29" customFormat="1" x14ac:dyDescent="0.25">
      <c r="B296" s="86" t="s">
        <v>500</v>
      </c>
      <c r="C296" s="86" t="s">
        <v>571</v>
      </c>
      <c r="D296" s="56" t="s">
        <v>405</v>
      </c>
      <c r="E296" s="86" t="s">
        <v>406</v>
      </c>
      <c r="F296" s="86"/>
      <c r="G296" s="86"/>
      <c r="H296" s="69" t="s">
        <v>1645</v>
      </c>
      <c r="I296" s="86"/>
      <c r="J296" s="86"/>
      <c r="K296" s="126"/>
      <c r="L296" s="126"/>
      <c r="M296" s="126"/>
      <c r="N296" s="126"/>
      <c r="O296" s="126"/>
      <c r="P296" s="113"/>
      <c r="Q296" s="113"/>
      <c r="R296" s="113"/>
      <c r="S296" s="113"/>
      <c r="T296" s="56"/>
      <c r="U296" s="56"/>
      <c r="V296" s="56"/>
      <c r="W296" s="56"/>
    </row>
    <row r="297" spans="1:23" s="29" customFormat="1" x14ac:dyDescent="0.25">
      <c r="B297" s="86" t="s">
        <v>500</v>
      </c>
      <c r="C297" s="86" t="s">
        <v>571</v>
      </c>
      <c r="D297" s="56" t="s">
        <v>428</v>
      </c>
      <c r="E297" s="86" t="s">
        <v>429</v>
      </c>
      <c r="F297" s="86"/>
      <c r="G297" s="86"/>
      <c r="H297" s="69" t="s">
        <v>1645</v>
      </c>
      <c r="I297" s="86"/>
      <c r="J297" s="86"/>
      <c r="K297" s="126"/>
      <c r="L297" s="126"/>
      <c r="M297" s="126"/>
      <c r="N297" s="126"/>
      <c r="O297" s="126"/>
      <c r="P297" s="113"/>
      <c r="Q297" s="113"/>
      <c r="R297" s="113"/>
      <c r="S297" s="113"/>
      <c r="T297" s="56"/>
      <c r="U297" s="56"/>
      <c r="V297" s="56"/>
      <c r="W297" s="56"/>
    </row>
    <row r="298" spans="1:23" s="29" customFormat="1" x14ac:dyDescent="0.25">
      <c r="B298" s="86"/>
      <c r="C298" s="86"/>
      <c r="D298" s="56"/>
      <c r="E298" s="86"/>
      <c r="F298" s="86"/>
      <c r="G298" s="86"/>
      <c r="H298" s="86"/>
      <c r="I298" s="86"/>
      <c r="J298" s="86"/>
      <c r="K298" s="126"/>
      <c r="L298" s="126"/>
      <c r="M298" s="126"/>
      <c r="N298" s="126"/>
      <c r="O298" s="126"/>
      <c r="P298" s="113"/>
      <c r="Q298" s="113"/>
      <c r="R298" s="113"/>
      <c r="S298" s="113"/>
      <c r="T298" s="56"/>
      <c r="U298" s="56"/>
      <c r="V298" s="56"/>
      <c r="W298" s="56"/>
    </row>
    <row r="299" spans="1:23" s="29" customFormat="1" x14ac:dyDescent="0.25">
      <c r="B299" s="86"/>
      <c r="C299" s="86"/>
      <c r="D299" s="56"/>
      <c r="E299" s="86"/>
      <c r="F299" s="86"/>
      <c r="G299" s="86"/>
      <c r="H299" s="86"/>
      <c r="I299" s="86"/>
      <c r="J299" s="86"/>
      <c r="K299" s="126"/>
      <c r="L299" s="126"/>
      <c r="M299" s="126"/>
      <c r="N299" s="126"/>
      <c r="O299" s="126"/>
      <c r="P299" s="113"/>
      <c r="Q299" s="113"/>
      <c r="R299" s="113"/>
      <c r="S299" s="113"/>
      <c r="T299" s="56"/>
      <c r="U299" s="56"/>
      <c r="V299" s="56"/>
      <c r="W299" s="56"/>
    </row>
    <row r="300" spans="1:23" s="29" customFormat="1" ht="16.5" thickBot="1" x14ac:dyDescent="0.3">
      <c r="B300" s="86"/>
      <c r="C300" s="86"/>
      <c r="D300" s="56"/>
      <c r="E300" s="86"/>
      <c r="F300" s="86"/>
      <c r="G300" s="86"/>
      <c r="H300" s="86"/>
      <c r="I300" s="86"/>
      <c r="J300" s="86"/>
      <c r="K300" s="126"/>
      <c r="L300" s="126"/>
      <c r="M300" s="126"/>
      <c r="N300" s="126"/>
      <c r="O300" s="126"/>
      <c r="P300" s="113"/>
      <c r="Q300" s="113"/>
      <c r="R300" s="113"/>
      <c r="S300" s="113"/>
      <c r="T300" s="56"/>
      <c r="U300" s="56"/>
      <c r="V300" s="56"/>
      <c r="W300" s="56"/>
    </row>
    <row r="301" spans="1:23" s="29" customFormat="1" ht="16.5" thickTop="1" x14ac:dyDescent="0.25">
      <c r="B301" s="128"/>
      <c r="C301" s="128"/>
      <c r="D301" s="74"/>
      <c r="E301" s="128"/>
      <c r="F301" s="128"/>
      <c r="G301" s="128"/>
      <c r="H301" s="128"/>
      <c r="I301" s="128"/>
      <c r="J301" s="128"/>
      <c r="K301" s="129"/>
      <c r="L301" s="129"/>
      <c r="M301" s="129"/>
      <c r="N301" s="129"/>
      <c r="O301" s="129"/>
      <c r="P301" s="143"/>
      <c r="Q301" s="143"/>
      <c r="R301" s="143"/>
      <c r="S301" s="143"/>
      <c r="T301" s="56"/>
      <c r="U301" s="56"/>
      <c r="V301" s="56"/>
      <c r="W301" s="56"/>
    </row>
    <row r="302" spans="1:23" s="29" customFormat="1" x14ac:dyDescent="0.25">
      <c r="A302" s="32"/>
      <c r="B302" s="86" t="s">
        <v>475</v>
      </c>
      <c r="C302" s="86" t="s">
        <v>475</v>
      </c>
      <c r="D302" s="56" t="s">
        <v>435</v>
      </c>
      <c r="E302" s="86" t="s">
        <v>436</v>
      </c>
      <c r="F302" s="86"/>
      <c r="G302" s="86"/>
      <c r="H302" s="86">
        <v>49</v>
      </c>
      <c r="I302" s="86"/>
      <c r="J302" s="86">
        <v>2017</v>
      </c>
      <c r="K302" s="126"/>
      <c r="L302" s="126"/>
      <c r="M302" s="126" t="s">
        <v>693</v>
      </c>
      <c r="N302" s="126" t="s">
        <v>697</v>
      </c>
      <c r="O302" s="126" t="s">
        <v>1396</v>
      </c>
      <c r="P302" s="113" t="s">
        <v>1397</v>
      </c>
      <c r="Q302" s="113" t="s">
        <v>862</v>
      </c>
      <c r="R302" s="113" t="s">
        <v>1602</v>
      </c>
      <c r="S302" s="113" t="s">
        <v>1395</v>
      </c>
      <c r="T302" s="56"/>
      <c r="U302" s="56"/>
      <c r="V302" s="56"/>
      <c r="W302" s="56"/>
    </row>
    <row r="303" spans="1:23" s="29" customFormat="1" x14ac:dyDescent="0.25">
      <c r="B303" s="86" t="s">
        <v>475</v>
      </c>
      <c r="C303" s="86" t="s">
        <v>475</v>
      </c>
      <c r="D303" s="56" t="s">
        <v>443</v>
      </c>
      <c r="E303" s="86" t="s">
        <v>444</v>
      </c>
      <c r="F303" s="86"/>
      <c r="G303" s="86"/>
      <c r="H303" s="86">
        <v>58</v>
      </c>
      <c r="I303" s="86"/>
      <c r="J303" s="86">
        <v>2013</v>
      </c>
      <c r="K303" s="126" t="s">
        <v>702</v>
      </c>
      <c r="L303" s="126"/>
      <c r="M303" s="126"/>
      <c r="N303" s="126" t="s">
        <v>697</v>
      </c>
      <c r="O303" s="126">
        <v>689</v>
      </c>
      <c r="P303" s="113" t="s">
        <v>480</v>
      </c>
      <c r="Q303" s="113" t="s">
        <v>863</v>
      </c>
      <c r="R303" s="113" t="s">
        <v>1135</v>
      </c>
      <c r="S303" s="113" t="s">
        <v>508</v>
      </c>
      <c r="T303" s="56"/>
      <c r="U303" s="56"/>
      <c r="V303" s="56"/>
      <c r="W303" s="56"/>
    </row>
    <row r="304" spans="1:23" s="29" customFormat="1" x14ac:dyDescent="0.25">
      <c r="B304" s="56"/>
      <c r="C304" s="56"/>
      <c r="D304" s="56"/>
      <c r="E304" s="56"/>
      <c r="F304" s="56"/>
      <c r="G304" s="56"/>
      <c r="H304" s="56"/>
      <c r="I304" s="56"/>
      <c r="J304" s="56"/>
      <c r="K304" s="111"/>
      <c r="L304" s="111"/>
      <c r="M304" s="111"/>
      <c r="N304" s="111"/>
      <c r="O304" s="111"/>
      <c r="P304" s="56"/>
      <c r="Q304" s="56"/>
      <c r="R304" s="56"/>
      <c r="S304" s="56"/>
      <c r="T304" s="56"/>
      <c r="U304" s="56"/>
      <c r="V304" s="56"/>
      <c r="W304" s="56"/>
    </row>
    <row r="305" spans="2:23" s="29" customFormat="1" x14ac:dyDescent="0.25">
      <c r="B305" s="56"/>
      <c r="C305" s="56"/>
      <c r="D305" s="56"/>
      <c r="E305" s="56"/>
      <c r="F305" s="56"/>
      <c r="G305" s="56"/>
      <c r="H305" s="56"/>
      <c r="I305" s="56"/>
      <c r="J305" s="56"/>
      <c r="K305" s="111"/>
      <c r="L305" s="111"/>
      <c r="M305" s="111"/>
      <c r="N305" s="111"/>
      <c r="O305" s="111"/>
      <c r="P305" s="56"/>
      <c r="Q305" s="56"/>
      <c r="R305" s="56"/>
      <c r="S305" s="56"/>
      <c r="T305" s="56"/>
      <c r="U305" s="56"/>
      <c r="V305" s="56"/>
      <c r="W305" s="56"/>
    </row>
    <row r="306" spans="2:23" s="29" customFormat="1" x14ac:dyDescent="0.25">
      <c r="B306" s="86" t="s">
        <v>475</v>
      </c>
      <c r="C306" s="86" t="s">
        <v>475</v>
      </c>
      <c r="D306" s="56" t="s">
        <v>433</v>
      </c>
      <c r="E306" s="86" t="s">
        <v>434</v>
      </c>
      <c r="F306" s="86"/>
      <c r="G306" s="86"/>
      <c r="H306" s="69" t="s">
        <v>1645</v>
      </c>
      <c r="I306" s="86"/>
      <c r="J306" s="86"/>
      <c r="K306" s="126"/>
      <c r="L306" s="126"/>
      <c r="M306" s="126"/>
      <c r="N306" s="126"/>
      <c r="O306" s="126"/>
      <c r="P306" s="113"/>
      <c r="Q306" s="113"/>
      <c r="R306" s="113"/>
      <c r="S306" s="113"/>
      <c r="T306" s="56"/>
      <c r="U306" s="56"/>
      <c r="V306" s="56"/>
      <c r="W306" s="56"/>
    </row>
    <row r="307" spans="2:23" s="29" customFormat="1" x14ac:dyDescent="0.25">
      <c r="B307" s="86" t="s">
        <v>475</v>
      </c>
      <c r="C307" s="86" t="s">
        <v>475</v>
      </c>
      <c r="D307" s="56" t="s">
        <v>449</v>
      </c>
      <c r="E307" s="86" t="s">
        <v>450</v>
      </c>
      <c r="F307" s="86"/>
      <c r="G307" s="86"/>
      <c r="H307" s="69" t="s">
        <v>1645</v>
      </c>
      <c r="I307" s="86"/>
      <c r="J307" s="86"/>
      <c r="K307" s="126"/>
      <c r="L307" s="126"/>
      <c r="M307" s="126"/>
      <c r="N307" s="126"/>
      <c r="O307" s="126"/>
      <c r="P307" s="113"/>
      <c r="Q307" s="113"/>
      <c r="R307" s="113"/>
      <c r="S307" s="113"/>
      <c r="T307" s="56"/>
      <c r="U307" s="56"/>
      <c r="V307" s="56"/>
      <c r="W307" s="56"/>
    </row>
    <row r="308" spans="2:23" s="29" customFormat="1" x14ac:dyDescent="0.25">
      <c r="B308" s="86" t="s">
        <v>475</v>
      </c>
      <c r="C308" s="86" t="s">
        <v>475</v>
      </c>
      <c r="D308" s="56" t="s">
        <v>437</v>
      </c>
      <c r="E308" s="86" t="s">
        <v>438</v>
      </c>
      <c r="F308" s="86"/>
      <c r="G308" s="86"/>
      <c r="H308" s="69" t="s">
        <v>1645</v>
      </c>
      <c r="I308" s="86"/>
      <c r="J308" s="86"/>
      <c r="K308" s="126"/>
      <c r="L308" s="126"/>
      <c r="M308" s="126"/>
      <c r="N308" s="126"/>
      <c r="O308" s="126"/>
      <c r="P308" s="113"/>
      <c r="Q308" s="113"/>
      <c r="R308" s="113"/>
      <c r="S308" s="113"/>
      <c r="T308" s="56"/>
      <c r="U308" s="56"/>
      <c r="V308" s="56"/>
      <c r="W308" s="56"/>
    </row>
    <row r="309" spans="2:23" s="29" customFormat="1" x14ac:dyDescent="0.25">
      <c r="B309" s="86" t="s">
        <v>475</v>
      </c>
      <c r="C309" s="86" t="s">
        <v>475</v>
      </c>
      <c r="D309" s="56" t="s">
        <v>451</v>
      </c>
      <c r="E309" s="86" t="s">
        <v>452</v>
      </c>
      <c r="F309" s="86"/>
      <c r="G309" s="86"/>
      <c r="H309" s="69" t="s">
        <v>1645</v>
      </c>
      <c r="I309" s="86"/>
      <c r="J309" s="86"/>
      <c r="K309" s="126"/>
      <c r="L309" s="126"/>
      <c r="M309" s="126"/>
      <c r="N309" s="126"/>
      <c r="O309" s="126"/>
      <c r="P309" s="113"/>
      <c r="Q309" s="113"/>
      <c r="R309" s="113"/>
      <c r="S309" s="113"/>
      <c r="T309" s="56"/>
      <c r="U309" s="56"/>
      <c r="V309" s="56"/>
      <c r="W309" s="56"/>
    </row>
    <row r="310" spans="2:23" s="29" customFormat="1" x14ac:dyDescent="0.25">
      <c r="B310" s="86" t="s">
        <v>475</v>
      </c>
      <c r="C310" s="86" t="s">
        <v>475</v>
      </c>
      <c r="D310" s="56" t="s">
        <v>439</v>
      </c>
      <c r="E310" s="86" t="s">
        <v>440</v>
      </c>
      <c r="F310" s="86"/>
      <c r="G310" s="86"/>
      <c r="H310" s="69" t="s">
        <v>1645</v>
      </c>
      <c r="I310" s="86"/>
      <c r="J310" s="86"/>
      <c r="K310" s="126"/>
      <c r="L310" s="126"/>
      <c r="M310" s="126"/>
      <c r="N310" s="126"/>
      <c r="O310" s="126"/>
      <c r="P310" s="56"/>
      <c r="Q310" s="56"/>
      <c r="R310" s="56"/>
      <c r="S310" s="56"/>
      <c r="T310" s="56"/>
      <c r="U310" s="56"/>
      <c r="V310" s="56"/>
      <c r="W310" s="56"/>
    </row>
    <row r="311" spans="2:23" s="29" customFormat="1" x14ac:dyDescent="0.25">
      <c r="B311" s="86" t="s">
        <v>475</v>
      </c>
      <c r="C311" s="86" t="s">
        <v>475</v>
      </c>
      <c r="D311" s="56" t="s">
        <v>453</v>
      </c>
      <c r="E311" s="86" t="s">
        <v>454</v>
      </c>
      <c r="F311" s="86"/>
      <c r="G311" s="86"/>
      <c r="H311" s="69" t="s">
        <v>1645</v>
      </c>
      <c r="I311" s="86"/>
      <c r="J311" s="86"/>
      <c r="K311" s="126"/>
      <c r="L311" s="126"/>
      <c r="M311" s="126"/>
      <c r="N311" s="126"/>
      <c r="O311" s="126"/>
      <c r="P311" s="113"/>
      <c r="Q311" s="113"/>
      <c r="R311" s="113"/>
      <c r="S311" s="113"/>
      <c r="T311" s="56"/>
      <c r="U311" s="56"/>
      <c r="V311" s="56"/>
      <c r="W311" s="56"/>
    </row>
    <row r="312" spans="2:23" s="29" customFormat="1" x14ac:dyDescent="0.25">
      <c r="B312" s="86" t="s">
        <v>475</v>
      </c>
      <c r="C312" s="86" t="s">
        <v>475</v>
      </c>
      <c r="D312" s="56" t="s">
        <v>441</v>
      </c>
      <c r="E312" s="86" t="s">
        <v>442</v>
      </c>
      <c r="F312" s="86"/>
      <c r="G312" s="86"/>
      <c r="H312" s="69" t="s">
        <v>1645</v>
      </c>
      <c r="I312" s="86"/>
      <c r="J312" s="86"/>
      <c r="K312" s="126"/>
      <c r="L312" s="126"/>
      <c r="M312" s="126"/>
      <c r="N312" s="126"/>
      <c r="O312" s="126"/>
      <c r="P312" s="113"/>
      <c r="Q312" s="113"/>
      <c r="R312" s="113"/>
      <c r="S312" s="113"/>
      <c r="T312" s="56"/>
      <c r="U312" s="56"/>
      <c r="V312" s="56"/>
      <c r="W312" s="56"/>
    </row>
    <row r="313" spans="2:23" s="29" customFormat="1" x14ac:dyDescent="0.25">
      <c r="B313" s="86" t="s">
        <v>475</v>
      </c>
      <c r="C313" s="86" t="s">
        <v>475</v>
      </c>
      <c r="D313" s="56" t="s">
        <v>455</v>
      </c>
      <c r="E313" s="86" t="s">
        <v>456</v>
      </c>
      <c r="F313" s="86"/>
      <c r="G313" s="86"/>
      <c r="H313" s="69" t="s">
        <v>1645</v>
      </c>
      <c r="I313" s="86"/>
      <c r="J313" s="86"/>
      <c r="K313" s="126"/>
      <c r="L313" s="126"/>
      <c r="M313" s="126"/>
      <c r="N313" s="126"/>
      <c r="O313" s="126"/>
      <c r="P313" s="113"/>
      <c r="Q313" s="113"/>
      <c r="R313" s="113"/>
      <c r="S313" s="113"/>
      <c r="T313" s="56"/>
      <c r="U313" s="56"/>
      <c r="V313" s="56"/>
      <c r="W313" s="56"/>
    </row>
    <row r="314" spans="2:23" s="29" customFormat="1" x14ac:dyDescent="0.25">
      <c r="B314" s="86" t="s">
        <v>475</v>
      </c>
      <c r="C314" s="86" t="s">
        <v>475</v>
      </c>
      <c r="D314" s="56" t="s">
        <v>457</v>
      </c>
      <c r="E314" s="86" t="s">
        <v>458</v>
      </c>
      <c r="F314" s="86"/>
      <c r="G314" s="86"/>
      <c r="H314" s="69" t="s">
        <v>1645</v>
      </c>
      <c r="I314" s="86"/>
      <c r="J314" s="86"/>
      <c r="K314" s="126"/>
      <c r="L314" s="126"/>
      <c r="M314" s="126"/>
      <c r="N314" s="126"/>
      <c r="O314" s="126"/>
      <c r="P314" s="113"/>
      <c r="Q314" s="113"/>
      <c r="R314" s="113"/>
      <c r="S314" s="113"/>
      <c r="T314" s="56"/>
      <c r="U314" s="56"/>
      <c r="V314" s="56"/>
      <c r="W314" s="56"/>
    </row>
    <row r="315" spans="2:23" s="29" customFormat="1" x14ac:dyDescent="0.25">
      <c r="B315" s="86" t="s">
        <v>475</v>
      </c>
      <c r="C315" s="86" t="s">
        <v>475</v>
      </c>
      <c r="D315" s="56" t="s">
        <v>459</v>
      </c>
      <c r="E315" s="86" t="s">
        <v>460</v>
      </c>
      <c r="F315" s="86"/>
      <c r="G315" s="86"/>
      <c r="H315" s="69" t="s">
        <v>1645</v>
      </c>
      <c r="I315" s="86"/>
      <c r="J315" s="86"/>
      <c r="K315" s="126"/>
      <c r="L315" s="126"/>
      <c r="M315" s="126"/>
      <c r="N315" s="126"/>
      <c r="O315" s="126"/>
      <c r="P315" s="113"/>
      <c r="Q315" s="113"/>
      <c r="R315" s="113"/>
      <c r="S315" s="113"/>
      <c r="T315" s="56"/>
      <c r="U315" s="56"/>
      <c r="V315" s="56"/>
      <c r="W315" s="56"/>
    </row>
    <row r="316" spans="2:23" s="29" customFormat="1" x14ac:dyDescent="0.25">
      <c r="B316" s="86" t="s">
        <v>475</v>
      </c>
      <c r="C316" s="56" t="s">
        <v>475</v>
      </c>
      <c r="D316" s="56" t="s">
        <v>1619</v>
      </c>
      <c r="E316" s="56" t="s">
        <v>1620</v>
      </c>
      <c r="F316" s="86"/>
      <c r="G316" s="86"/>
      <c r="H316" s="69" t="s">
        <v>1645</v>
      </c>
      <c r="I316" s="86"/>
      <c r="J316" s="86"/>
      <c r="K316" s="126"/>
      <c r="L316" s="126"/>
      <c r="M316" s="126"/>
      <c r="N316" s="126"/>
      <c r="O316" s="126"/>
      <c r="P316" s="113"/>
      <c r="Q316" s="113"/>
      <c r="R316" s="113"/>
      <c r="S316" s="113"/>
      <c r="T316" s="56"/>
      <c r="U316" s="56"/>
      <c r="V316" s="56"/>
      <c r="W316" s="56"/>
    </row>
    <row r="317" spans="2:23" s="29" customFormat="1" x14ac:dyDescent="0.25">
      <c r="B317" s="86" t="s">
        <v>475</v>
      </c>
      <c r="C317" s="86" t="s">
        <v>475</v>
      </c>
      <c r="D317" s="56" t="s">
        <v>445</v>
      </c>
      <c r="E317" s="86" t="s">
        <v>446</v>
      </c>
      <c r="F317" s="86"/>
      <c r="G317" s="86"/>
      <c r="H317" s="69" t="s">
        <v>1645</v>
      </c>
      <c r="I317" s="86"/>
      <c r="J317" s="86"/>
      <c r="K317" s="126"/>
      <c r="L317" s="126"/>
      <c r="M317" s="126"/>
      <c r="N317" s="126"/>
      <c r="O317" s="126"/>
      <c r="P317" s="113"/>
      <c r="Q317" s="113"/>
      <c r="R317" s="113"/>
      <c r="S317" s="113"/>
      <c r="T317" s="56"/>
      <c r="U317" s="56"/>
      <c r="V317" s="56"/>
      <c r="W317" s="56"/>
    </row>
    <row r="318" spans="2:23" s="29" customFormat="1" x14ac:dyDescent="0.25">
      <c r="B318" s="86" t="s">
        <v>475</v>
      </c>
      <c r="C318" s="86" t="s">
        <v>475</v>
      </c>
      <c r="D318" s="56" t="s">
        <v>447</v>
      </c>
      <c r="E318" s="86" t="s">
        <v>448</v>
      </c>
      <c r="F318" s="86"/>
      <c r="G318" s="86"/>
      <c r="H318" s="69" t="s">
        <v>1645</v>
      </c>
      <c r="I318" s="86"/>
      <c r="J318" s="86"/>
      <c r="K318" s="126"/>
      <c r="L318" s="126"/>
      <c r="M318" s="126"/>
      <c r="N318" s="126"/>
      <c r="O318" s="126"/>
      <c r="P318" s="113"/>
      <c r="Q318" s="113"/>
      <c r="R318" s="113"/>
      <c r="S318" s="113"/>
      <c r="T318" s="56"/>
      <c r="U318" s="56"/>
      <c r="V318" s="56"/>
      <c r="W318" s="56"/>
    </row>
    <row r="319" spans="2:23" s="29" customFormat="1" x14ac:dyDescent="0.25">
      <c r="B319" s="86" t="s">
        <v>475</v>
      </c>
      <c r="C319" s="86" t="s">
        <v>475</v>
      </c>
      <c r="D319" s="56" t="s">
        <v>461</v>
      </c>
      <c r="E319" s="86" t="s">
        <v>462</v>
      </c>
      <c r="F319" s="86"/>
      <c r="G319" s="86"/>
      <c r="H319" s="69" t="s">
        <v>1645</v>
      </c>
      <c r="I319" s="86"/>
      <c r="J319" s="86"/>
      <c r="K319" s="126"/>
      <c r="L319" s="126"/>
      <c r="M319" s="126"/>
      <c r="N319" s="126"/>
      <c r="O319" s="126"/>
      <c r="P319" s="113"/>
      <c r="Q319" s="113"/>
      <c r="R319" s="113"/>
      <c r="S319" s="113"/>
      <c r="T319" s="56"/>
      <c r="U319" s="56"/>
      <c r="V319" s="56"/>
      <c r="W319" s="56"/>
    </row>
    <row r="320" spans="2:23" s="29" customFormat="1" x14ac:dyDescent="0.25">
      <c r="B320" s="86" t="s">
        <v>475</v>
      </c>
      <c r="C320" s="86" t="s">
        <v>475</v>
      </c>
      <c r="D320" s="56" t="s">
        <v>463</v>
      </c>
      <c r="E320" s="86" t="s">
        <v>464</v>
      </c>
      <c r="F320" s="86"/>
      <c r="G320" s="86"/>
      <c r="H320" s="69" t="s">
        <v>1645</v>
      </c>
      <c r="I320" s="86"/>
      <c r="J320" s="86"/>
      <c r="K320" s="126"/>
      <c r="L320" s="126"/>
      <c r="M320" s="126"/>
      <c r="N320" s="126"/>
      <c r="O320" s="126"/>
      <c r="P320" s="113"/>
      <c r="Q320" s="113"/>
      <c r="R320" s="113"/>
      <c r="S320" s="113"/>
      <c r="T320" s="56"/>
      <c r="U320" s="56"/>
      <c r="V320" s="56"/>
      <c r="W320" s="56"/>
    </row>
    <row r="321" spans="2:23" s="29" customFormat="1" x14ac:dyDescent="0.25">
      <c r="B321" s="86" t="s">
        <v>475</v>
      </c>
      <c r="C321" s="86" t="s">
        <v>475</v>
      </c>
      <c r="D321" s="56" t="s">
        <v>465</v>
      </c>
      <c r="E321" s="86" t="s">
        <v>466</v>
      </c>
      <c r="F321" s="86"/>
      <c r="G321" s="86"/>
      <c r="H321" s="69" t="s">
        <v>1645</v>
      </c>
      <c r="I321" s="86"/>
      <c r="J321" s="86"/>
      <c r="K321" s="126"/>
      <c r="L321" s="126"/>
      <c r="M321" s="126"/>
      <c r="N321" s="126"/>
      <c r="O321" s="126"/>
      <c r="P321" s="113"/>
      <c r="Q321" s="113"/>
      <c r="R321" s="113"/>
      <c r="S321" s="113"/>
      <c r="T321" s="56"/>
      <c r="U321" s="56"/>
      <c r="V321" s="56"/>
      <c r="W321" s="56"/>
    </row>
    <row r="322" spans="2:23" s="29" customFormat="1" x14ac:dyDescent="0.25">
      <c r="B322" s="86" t="s">
        <v>475</v>
      </c>
      <c r="C322" s="86" t="s">
        <v>475</v>
      </c>
      <c r="D322" s="56" t="s">
        <v>1621</v>
      </c>
      <c r="E322" s="86" t="s">
        <v>1622</v>
      </c>
      <c r="F322" s="86"/>
      <c r="G322" s="86"/>
      <c r="H322" s="69" t="s">
        <v>1645</v>
      </c>
      <c r="I322" s="86"/>
      <c r="J322" s="86"/>
      <c r="K322" s="126"/>
      <c r="L322" s="126"/>
      <c r="M322" s="126"/>
      <c r="N322" s="126"/>
      <c r="O322" s="126"/>
      <c r="P322" s="113"/>
      <c r="Q322" s="113"/>
      <c r="R322" s="113"/>
      <c r="S322" s="113"/>
      <c r="T322" s="56"/>
      <c r="U322" s="56"/>
      <c r="V322" s="56"/>
      <c r="W322" s="56"/>
    </row>
    <row r="323" spans="2:23" s="29" customFormat="1" x14ac:dyDescent="0.25">
      <c r="B323" s="86" t="s">
        <v>475</v>
      </c>
      <c r="C323" s="86" t="s">
        <v>475</v>
      </c>
      <c r="D323" s="56" t="s">
        <v>467</v>
      </c>
      <c r="E323" s="86" t="s">
        <v>468</v>
      </c>
      <c r="F323" s="86"/>
      <c r="G323" s="86"/>
      <c r="H323" s="69" t="s">
        <v>1645</v>
      </c>
      <c r="I323" s="86"/>
      <c r="J323" s="86"/>
      <c r="K323" s="126"/>
      <c r="L323" s="126"/>
      <c r="M323" s="126"/>
      <c r="N323" s="126"/>
      <c r="O323" s="126"/>
      <c r="P323" s="113"/>
      <c r="Q323" s="113"/>
      <c r="R323" s="113"/>
      <c r="S323" s="113"/>
      <c r="T323" s="56"/>
      <c r="U323" s="56"/>
      <c r="V323" s="56"/>
      <c r="W323" s="56"/>
    </row>
    <row r="324" spans="2:23" s="29" customFormat="1" x14ac:dyDescent="0.25">
      <c r="B324" s="86" t="s">
        <v>475</v>
      </c>
      <c r="C324" s="86" t="s">
        <v>475</v>
      </c>
      <c r="D324" s="56" t="s">
        <v>469</v>
      </c>
      <c r="E324" s="86" t="s">
        <v>470</v>
      </c>
      <c r="F324" s="86"/>
      <c r="G324" s="86"/>
      <c r="H324" s="69" t="s">
        <v>1645</v>
      </c>
      <c r="I324" s="86"/>
      <c r="J324" s="86"/>
      <c r="K324" s="126"/>
      <c r="L324" s="126"/>
      <c r="M324" s="126"/>
      <c r="N324" s="126"/>
      <c r="O324" s="126"/>
      <c r="P324" s="113"/>
      <c r="Q324" s="113"/>
      <c r="R324" s="113"/>
      <c r="S324" s="113"/>
      <c r="T324" s="56"/>
      <c r="U324" s="56"/>
      <c r="V324" s="56"/>
      <c r="W324" s="56"/>
    </row>
    <row r="325" spans="2:23" s="29" customFormat="1" x14ac:dyDescent="0.25">
      <c r="B325" s="86" t="s">
        <v>475</v>
      </c>
      <c r="C325" s="86" t="s">
        <v>475</v>
      </c>
      <c r="D325" s="56" t="s">
        <v>471</v>
      </c>
      <c r="E325" s="86" t="s">
        <v>472</v>
      </c>
      <c r="F325" s="86"/>
      <c r="G325" s="86"/>
      <c r="H325" s="69" t="s">
        <v>1645</v>
      </c>
      <c r="I325" s="86"/>
      <c r="J325" s="86"/>
      <c r="K325" s="126"/>
      <c r="L325" s="126"/>
      <c r="M325" s="126"/>
      <c r="N325" s="126"/>
      <c r="O325" s="126"/>
      <c r="P325" s="113"/>
      <c r="Q325" s="113"/>
      <c r="R325" s="113"/>
      <c r="S325" s="113"/>
      <c r="T325" s="56"/>
      <c r="U325" s="56"/>
      <c r="V325" s="56"/>
      <c r="W325" s="56"/>
    </row>
    <row r="326" spans="2:23" s="29" customFormat="1" x14ac:dyDescent="0.25">
      <c r="B326" s="86" t="s">
        <v>475</v>
      </c>
      <c r="C326" s="86" t="s">
        <v>475</v>
      </c>
      <c r="D326" s="56" t="s">
        <v>473</v>
      </c>
      <c r="E326" s="86" t="s">
        <v>474</v>
      </c>
      <c r="F326" s="86"/>
      <c r="G326" s="86"/>
      <c r="H326" s="69" t="s">
        <v>1645</v>
      </c>
      <c r="I326" s="86"/>
      <c r="J326" s="86"/>
      <c r="K326" s="126"/>
      <c r="L326" s="126"/>
      <c r="M326" s="126"/>
      <c r="N326" s="126"/>
      <c r="O326" s="126"/>
      <c r="P326" s="113"/>
      <c r="Q326" s="113"/>
      <c r="R326" s="113"/>
      <c r="S326" s="113"/>
      <c r="T326" s="56"/>
      <c r="U326" s="56"/>
      <c r="V326" s="56"/>
      <c r="W326" s="56"/>
    </row>
    <row r="327" spans="2:23" s="29" customFormat="1" x14ac:dyDescent="0.25">
      <c r="B327" s="56"/>
      <c r="C327" s="56"/>
      <c r="D327" s="56"/>
      <c r="E327" s="56"/>
      <c r="F327" s="56"/>
      <c r="G327" s="56"/>
      <c r="H327" s="56"/>
      <c r="I327" s="56"/>
      <c r="J327" s="56"/>
      <c r="K327" s="111"/>
      <c r="L327" s="111"/>
      <c r="M327" s="111"/>
      <c r="N327" s="111"/>
      <c r="O327" s="111"/>
      <c r="P327" s="56"/>
      <c r="Q327" s="56"/>
      <c r="R327" s="56"/>
      <c r="S327" s="56"/>
      <c r="T327" s="56"/>
      <c r="U327" s="56"/>
      <c r="V327" s="56"/>
      <c r="W327" s="56"/>
    </row>
    <row r="328" spans="2:23" s="29" customFormat="1" x14ac:dyDescent="0.25">
      <c r="B328" s="56"/>
      <c r="C328" s="56"/>
      <c r="D328" s="56"/>
      <c r="E328" s="56"/>
      <c r="F328" s="56"/>
      <c r="G328" s="56"/>
      <c r="H328" s="56"/>
      <c r="I328" s="56"/>
      <c r="J328" s="56"/>
      <c r="K328" s="111"/>
      <c r="L328" s="111"/>
      <c r="M328" s="111"/>
      <c r="N328" s="111"/>
      <c r="O328" s="111"/>
      <c r="P328" s="56"/>
      <c r="Q328" s="56"/>
      <c r="R328" s="56"/>
      <c r="S328" s="56"/>
      <c r="T328" s="56"/>
      <c r="U328" s="56"/>
      <c r="V328" s="56"/>
      <c r="W328" s="56"/>
    </row>
    <row r="329" spans="2:23" s="29" customFormat="1" x14ac:dyDescent="0.25">
      <c r="B329" s="56"/>
      <c r="C329" s="56"/>
      <c r="D329" s="56"/>
      <c r="E329" s="56"/>
      <c r="F329" s="56"/>
      <c r="G329" s="56"/>
      <c r="H329" s="56"/>
      <c r="I329" s="56"/>
      <c r="J329" s="56"/>
      <c r="K329" s="111"/>
      <c r="L329" s="111"/>
      <c r="M329" s="111"/>
      <c r="N329" s="111"/>
      <c r="O329" s="111"/>
      <c r="P329" s="56"/>
      <c r="Q329" s="56"/>
      <c r="R329" s="56"/>
      <c r="S329" s="56"/>
      <c r="T329" s="56"/>
      <c r="U329" s="56"/>
      <c r="V329" s="56"/>
      <c r="W329" s="56"/>
    </row>
    <row r="330" spans="2:23" s="29" customFormat="1" x14ac:dyDescent="0.25">
      <c r="B330" s="56"/>
      <c r="C330" s="56"/>
      <c r="D330" s="56"/>
      <c r="E330" s="56"/>
      <c r="F330" s="56"/>
      <c r="G330" s="56"/>
      <c r="H330" s="56"/>
      <c r="I330" s="56"/>
      <c r="J330" s="56"/>
      <c r="K330" s="111"/>
      <c r="L330" s="111"/>
      <c r="M330" s="111"/>
      <c r="N330" s="111"/>
      <c r="O330" s="111"/>
      <c r="P330" s="56"/>
      <c r="Q330" s="56"/>
      <c r="R330" s="56"/>
      <c r="S330" s="56"/>
      <c r="T330" s="56"/>
      <c r="U330" s="56"/>
      <c r="V330" s="56"/>
      <c r="W330" s="56"/>
    </row>
    <row r="331" spans="2:23" s="29" customFormat="1" x14ac:dyDescent="0.25">
      <c r="B331" s="56"/>
      <c r="C331" s="56"/>
      <c r="D331" s="56"/>
      <c r="E331" s="56"/>
      <c r="F331" s="56"/>
      <c r="G331" s="56"/>
      <c r="H331" s="56"/>
      <c r="I331" s="56"/>
      <c r="J331" s="56"/>
      <c r="K331" s="111"/>
      <c r="L331" s="111"/>
      <c r="M331" s="111"/>
      <c r="N331" s="111"/>
      <c r="O331" s="111"/>
      <c r="P331" s="56"/>
      <c r="Q331" s="56"/>
      <c r="R331" s="56"/>
      <c r="S331" s="56"/>
      <c r="T331" s="56"/>
      <c r="U331" s="56"/>
      <c r="V331" s="56"/>
      <c r="W331" s="56"/>
    </row>
    <row r="332" spans="2:23" s="29" customFormat="1" x14ac:dyDescent="0.25">
      <c r="B332" s="56"/>
      <c r="C332" s="56"/>
      <c r="D332" s="56"/>
      <c r="E332" s="56"/>
      <c r="F332" s="56"/>
      <c r="G332" s="56"/>
      <c r="H332" s="56"/>
      <c r="I332" s="56"/>
      <c r="J332" s="56"/>
      <c r="K332" s="111"/>
      <c r="L332" s="111"/>
      <c r="M332" s="111"/>
      <c r="N332" s="111"/>
      <c r="O332" s="111"/>
      <c r="P332" s="56"/>
      <c r="Q332" s="56"/>
      <c r="R332" s="56"/>
      <c r="S332" s="56"/>
      <c r="T332" s="56"/>
      <c r="U332" s="56"/>
      <c r="V332" s="56"/>
      <c r="W332" s="56"/>
    </row>
    <row r="333" spans="2:23" s="29" customFormat="1" x14ac:dyDescent="0.25">
      <c r="B333" s="56"/>
      <c r="C333" s="56"/>
      <c r="D333" s="56"/>
      <c r="E333" s="56"/>
      <c r="F333" s="56"/>
      <c r="G333" s="56"/>
      <c r="H333" s="56"/>
      <c r="I333" s="56"/>
      <c r="J333" s="56"/>
      <c r="K333" s="111"/>
      <c r="L333" s="111"/>
      <c r="M333" s="111"/>
      <c r="N333" s="111"/>
      <c r="O333" s="111"/>
      <c r="P333" s="56"/>
      <c r="Q333" s="56"/>
      <c r="R333" s="56"/>
      <c r="S333" s="56"/>
      <c r="T333" s="56"/>
      <c r="U333" s="56"/>
      <c r="V333" s="56"/>
      <c r="W333" s="56"/>
    </row>
    <row r="334" spans="2:23" s="29" customFormat="1" x14ac:dyDescent="0.25">
      <c r="B334" s="56"/>
      <c r="C334" s="56"/>
      <c r="D334" s="56"/>
      <c r="E334" s="56"/>
      <c r="F334" s="56"/>
      <c r="G334" s="56"/>
      <c r="H334" s="56"/>
      <c r="I334" s="56"/>
      <c r="J334" s="56"/>
      <c r="K334" s="111"/>
      <c r="L334" s="111"/>
      <c r="M334" s="111"/>
      <c r="N334" s="111"/>
      <c r="O334" s="111"/>
      <c r="P334" s="56"/>
      <c r="Q334" s="56"/>
      <c r="R334" s="56"/>
      <c r="S334" s="56"/>
      <c r="T334" s="56"/>
      <c r="U334" s="56"/>
      <c r="V334" s="56"/>
      <c r="W334" s="56"/>
    </row>
    <row r="335" spans="2:23" s="29" customFormat="1" x14ac:dyDescent="0.25">
      <c r="B335" s="56"/>
      <c r="C335" s="56"/>
      <c r="D335" s="56"/>
      <c r="E335" s="56"/>
      <c r="F335" s="56"/>
      <c r="G335" s="56"/>
      <c r="H335" s="56"/>
      <c r="I335" s="56"/>
      <c r="J335" s="56"/>
      <c r="K335" s="111"/>
      <c r="L335" s="111"/>
      <c r="M335" s="111"/>
      <c r="N335" s="111"/>
      <c r="O335" s="111"/>
      <c r="P335" s="56"/>
      <c r="Q335" s="56"/>
      <c r="R335" s="56"/>
      <c r="S335" s="56"/>
      <c r="T335" s="56"/>
      <c r="U335" s="56"/>
      <c r="V335" s="56"/>
      <c r="W335" s="56"/>
    </row>
    <row r="336" spans="2:23" s="29" customFormat="1" x14ac:dyDescent="0.25">
      <c r="B336" s="56"/>
      <c r="C336" s="56"/>
      <c r="D336" s="56"/>
      <c r="E336" s="56"/>
      <c r="F336" s="56"/>
      <c r="G336" s="56"/>
      <c r="H336" s="56"/>
      <c r="I336" s="56"/>
      <c r="J336" s="56"/>
      <c r="K336" s="111"/>
      <c r="L336" s="111"/>
      <c r="M336" s="111"/>
      <c r="N336" s="111"/>
      <c r="O336" s="111"/>
      <c r="P336" s="56"/>
      <c r="Q336" s="56"/>
      <c r="R336" s="56"/>
      <c r="S336" s="56"/>
      <c r="T336" s="56"/>
      <c r="U336" s="56"/>
      <c r="V336" s="56"/>
      <c r="W336" s="56"/>
    </row>
    <row r="337" spans="2:23" s="29" customFormat="1" x14ac:dyDescent="0.25">
      <c r="B337" s="56"/>
      <c r="C337" s="56"/>
      <c r="D337" s="56"/>
      <c r="E337" s="56"/>
      <c r="F337" s="56"/>
      <c r="G337" s="56"/>
      <c r="H337" s="56"/>
      <c r="I337" s="56"/>
      <c r="J337" s="56"/>
      <c r="K337" s="111"/>
      <c r="L337" s="111"/>
      <c r="M337" s="111"/>
      <c r="N337" s="111"/>
      <c r="O337" s="111"/>
      <c r="P337" s="56"/>
      <c r="Q337" s="56"/>
      <c r="R337" s="56"/>
      <c r="S337" s="56"/>
      <c r="T337" s="56"/>
      <c r="U337" s="56"/>
      <c r="V337" s="56"/>
      <c r="W337" s="56"/>
    </row>
    <row r="338" spans="2:23" s="29" customFormat="1" x14ac:dyDescent="0.25">
      <c r="B338" s="56"/>
      <c r="C338" s="56"/>
      <c r="D338" s="56"/>
      <c r="E338" s="56"/>
      <c r="F338" s="56"/>
      <c r="G338" s="56"/>
      <c r="H338" s="56"/>
      <c r="I338" s="56"/>
      <c r="J338" s="56"/>
      <c r="K338" s="111"/>
      <c r="L338" s="111"/>
      <c r="M338" s="111"/>
      <c r="N338" s="111"/>
      <c r="O338" s="111"/>
      <c r="P338" s="56"/>
      <c r="Q338" s="56"/>
      <c r="R338" s="56"/>
      <c r="S338" s="56"/>
      <c r="T338" s="56"/>
      <c r="U338" s="56"/>
      <c r="V338" s="56"/>
      <c r="W338" s="56"/>
    </row>
    <row r="339" spans="2:23" s="29" customFormat="1" x14ac:dyDescent="0.25">
      <c r="B339" s="56"/>
      <c r="C339" s="56"/>
      <c r="D339" s="56"/>
      <c r="E339" s="56"/>
      <c r="F339" s="56"/>
      <c r="G339" s="56"/>
      <c r="H339" s="56"/>
      <c r="I339" s="56"/>
      <c r="J339" s="56"/>
      <c r="K339" s="111"/>
      <c r="L339" s="111"/>
      <c r="M339" s="111"/>
      <c r="N339" s="111"/>
      <c r="O339" s="111"/>
      <c r="P339" s="56"/>
      <c r="Q339" s="56"/>
      <c r="R339" s="56"/>
      <c r="S339" s="56"/>
      <c r="T339" s="56"/>
      <c r="U339" s="56"/>
      <c r="V339" s="56"/>
      <c r="W339" s="56"/>
    </row>
    <row r="340" spans="2:23" s="29" customFormat="1" x14ac:dyDescent="0.25">
      <c r="B340" s="56"/>
      <c r="C340" s="56"/>
      <c r="D340" s="56"/>
      <c r="E340" s="56"/>
      <c r="F340" s="56"/>
      <c r="G340" s="56"/>
      <c r="H340" s="56"/>
      <c r="I340" s="56"/>
      <c r="J340" s="56"/>
      <c r="K340" s="111"/>
      <c r="L340" s="111"/>
      <c r="M340" s="111"/>
      <c r="N340" s="111"/>
      <c r="O340" s="111"/>
      <c r="P340" s="56"/>
      <c r="Q340" s="56"/>
      <c r="R340" s="56"/>
      <c r="S340" s="56"/>
      <c r="T340" s="56"/>
      <c r="U340" s="56"/>
      <c r="V340" s="56"/>
      <c r="W340" s="56"/>
    </row>
    <row r="341" spans="2:23" s="29" customFormat="1" x14ac:dyDescent="0.25">
      <c r="B341" s="56"/>
      <c r="C341" s="56"/>
      <c r="D341" s="56"/>
      <c r="E341" s="56"/>
      <c r="F341" s="56"/>
      <c r="G341" s="56"/>
      <c r="H341" s="56"/>
      <c r="I341" s="56"/>
      <c r="J341" s="56"/>
      <c r="K341" s="111"/>
      <c r="L341" s="111"/>
      <c r="M341" s="111"/>
      <c r="N341" s="111"/>
      <c r="O341" s="111"/>
      <c r="P341" s="56"/>
      <c r="Q341" s="56"/>
      <c r="R341" s="56"/>
      <c r="S341" s="56"/>
      <c r="T341" s="56"/>
      <c r="U341" s="56"/>
      <c r="V341" s="56"/>
      <c r="W341" s="56"/>
    </row>
    <row r="342" spans="2:23" s="29" customFormat="1" x14ac:dyDescent="0.25">
      <c r="B342" s="56"/>
      <c r="C342" s="56"/>
      <c r="D342" s="56"/>
      <c r="E342" s="56"/>
      <c r="F342" s="56"/>
      <c r="G342" s="56"/>
      <c r="H342" s="56"/>
      <c r="I342" s="56"/>
      <c r="J342" s="56"/>
      <c r="K342" s="111"/>
      <c r="L342" s="111"/>
      <c r="M342" s="111"/>
      <c r="N342" s="111"/>
      <c r="O342" s="111"/>
      <c r="P342" s="56"/>
      <c r="Q342" s="56"/>
      <c r="R342" s="56"/>
      <c r="S342" s="56"/>
      <c r="T342" s="56"/>
      <c r="U342" s="56"/>
      <c r="V342" s="56"/>
      <c r="W342" s="56"/>
    </row>
    <row r="343" spans="2:23" s="29" customFormat="1" x14ac:dyDescent="0.25">
      <c r="B343" s="56"/>
      <c r="C343" s="56"/>
      <c r="D343" s="56"/>
      <c r="E343" s="56"/>
      <c r="F343" s="56"/>
      <c r="G343" s="56"/>
      <c r="H343" s="56"/>
      <c r="I343" s="56"/>
      <c r="J343" s="56"/>
      <c r="K343" s="111"/>
      <c r="L343" s="111"/>
      <c r="M343" s="111"/>
      <c r="N343" s="111"/>
      <c r="O343" s="111"/>
      <c r="P343" s="56"/>
      <c r="Q343" s="56"/>
      <c r="R343" s="56"/>
      <c r="S343" s="56"/>
      <c r="T343" s="56"/>
      <c r="U343" s="56"/>
      <c r="V343" s="56"/>
      <c r="W343" s="56"/>
    </row>
    <row r="344" spans="2:23" s="29" customFormat="1" x14ac:dyDescent="0.25">
      <c r="B344" s="56"/>
      <c r="C344" s="56"/>
      <c r="D344" s="56"/>
      <c r="E344" s="56"/>
      <c r="F344" s="56"/>
      <c r="G344" s="56"/>
      <c r="H344" s="56"/>
      <c r="I344" s="56"/>
      <c r="J344" s="56"/>
      <c r="K344" s="111"/>
      <c r="L344" s="111"/>
      <c r="M344" s="111"/>
      <c r="N344" s="111"/>
      <c r="O344" s="111"/>
      <c r="P344" s="56"/>
      <c r="Q344" s="56"/>
      <c r="R344" s="56"/>
      <c r="S344" s="56"/>
      <c r="T344" s="56"/>
      <c r="U344" s="56"/>
      <c r="V344" s="56"/>
      <c r="W344" s="56"/>
    </row>
    <row r="345" spans="2:23" s="29" customFormat="1" x14ac:dyDescent="0.25">
      <c r="B345" s="56"/>
      <c r="C345" s="56"/>
      <c r="D345" s="56"/>
      <c r="E345" s="56"/>
      <c r="F345" s="56"/>
      <c r="G345" s="56"/>
      <c r="H345" s="56"/>
      <c r="I345" s="56"/>
      <c r="J345" s="56"/>
      <c r="K345" s="111"/>
      <c r="L345" s="111"/>
      <c r="M345" s="111"/>
      <c r="N345" s="111"/>
      <c r="O345" s="111"/>
      <c r="P345" s="56"/>
      <c r="Q345" s="56"/>
      <c r="R345" s="56"/>
      <c r="S345" s="56"/>
      <c r="T345" s="56"/>
      <c r="U345" s="56"/>
      <c r="V345" s="56"/>
      <c r="W345" s="56"/>
    </row>
    <row r="346" spans="2:23" s="29" customFormat="1" x14ac:dyDescent="0.25">
      <c r="B346" s="56"/>
      <c r="C346" s="56"/>
      <c r="D346" s="56"/>
      <c r="E346" s="56"/>
      <c r="F346" s="56"/>
      <c r="G346" s="56"/>
      <c r="H346" s="56"/>
      <c r="I346" s="56"/>
      <c r="J346" s="56"/>
      <c r="K346" s="111"/>
      <c r="L346" s="111"/>
      <c r="M346" s="111"/>
      <c r="N346" s="111"/>
      <c r="O346" s="111"/>
      <c r="P346" s="56"/>
      <c r="Q346" s="56"/>
      <c r="R346" s="56"/>
      <c r="S346" s="56"/>
      <c r="T346" s="56"/>
      <c r="U346" s="56"/>
      <c r="V346" s="56"/>
      <c r="W346" s="56"/>
    </row>
    <row r="347" spans="2:23" s="29" customFormat="1" x14ac:dyDescent="0.25">
      <c r="B347" s="56"/>
      <c r="C347" s="56"/>
      <c r="D347" s="56"/>
      <c r="E347" s="56"/>
      <c r="F347" s="56"/>
      <c r="G347" s="56"/>
      <c r="H347" s="56"/>
      <c r="I347" s="56"/>
      <c r="J347" s="56"/>
      <c r="K347" s="111"/>
      <c r="L347" s="111"/>
      <c r="M347" s="111"/>
      <c r="N347" s="111"/>
      <c r="O347" s="111"/>
      <c r="P347" s="56"/>
      <c r="Q347" s="56"/>
      <c r="R347" s="56"/>
      <c r="S347" s="56"/>
      <c r="T347" s="56"/>
      <c r="U347" s="56"/>
      <c r="V347" s="56"/>
      <c r="W347" s="56"/>
    </row>
    <row r="348" spans="2:23" s="29" customFormat="1" x14ac:dyDescent="0.25">
      <c r="B348" s="56"/>
      <c r="C348" s="56"/>
      <c r="D348" s="56"/>
      <c r="E348" s="56"/>
      <c r="F348" s="56"/>
      <c r="G348" s="56"/>
      <c r="H348" s="56"/>
      <c r="I348" s="56"/>
      <c r="J348" s="56"/>
      <c r="K348" s="111"/>
      <c r="L348" s="111"/>
      <c r="M348" s="111"/>
      <c r="N348" s="111"/>
      <c r="O348" s="111"/>
      <c r="P348" s="56"/>
      <c r="Q348" s="56"/>
      <c r="R348" s="56"/>
      <c r="S348" s="56"/>
      <c r="T348" s="56"/>
      <c r="U348" s="56"/>
      <c r="V348" s="56"/>
      <c r="W348" s="56"/>
    </row>
    <row r="349" spans="2:23" s="29" customFormat="1" x14ac:dyDescent="0.25">
      <c r="B349" s="56"/>
      <c r="C349" s="56"/>
      <c r="D349" s="56"/>
      <c r="E349" s="56"/>
      <c r="F349" s="56"/>
      <c r="G349" s="56"/>
      <c r="H349" s="56"/>
      <c r="I349" s="56"/>
      <c r="J349" s="56"/>
      <c r="K349" s="111"/>
      <c r="L349" s="111"/>
      <c r="M349" s="111"/>
      <c r="N349" s="111"/>
      <c r="O349" s="111"/>
      <c r="P349" s="56"/>
      <c r="Q349" s="56"/>
      <c r="R349" s="56"/>
      <c r="S349" s="56"/>
      <c r="T349" s="56"/>
      <c r="U349" s="56"/>
      <c r="V349" s="56"/>
      <c r="W349" s="56"/>
    </row>
    <row r="350" spans="2:23" s="29" customFormat="1" x14ac:dyDescent="0.25">
      <c r="B350" s="56"/>
      <c r="C350" s="56"/>
      <c r="D350" s="56"/>
      <c r="E350" s="56"/>
      <c r="F350" s="56"/>
      <c r="G350" s="56"/>
      <c r="H350" s="56"/>
      <c r="I350" s="56"/>
      <c r="J350" s="56"/>
      <c r="K350" s="111"/>
      <c r="L350" s="111"/>
      <c r="M350" s="111"/>
      <c r="N350" s="111"/>
      <c r="O350" s="111"/>
      <c r="P350" s="56"/>
      <c r="Q350" s="56"/>
      <c r="R350" s="56"/>
      <c r="S350" s="56"/>
      <c r="T350" s="56"/>
      <c r="U350" s="56"/>
      <c r="V350" s="56"/>
      <c r="W350" s="56"/>
    </row>
    <row r="351" spans="2:23" s="29" customFormat="1" x14ac:dyDescent="0.25">
      <c r="B351" s="56"/>
      <c r="C351" s="56"/>
      <c r="D351" s="56"/>
      <c r="E351" s="56"/>
      <c r="F351" s="56"/>
      <c r="G351" s="56"/>
      <c r="H351" s="56"/>
      <c r="I351" s="56"/>
      <c r="J351" s="56"/>
      <c r="K351" s="111"/>
      <c r="L351" s="111"/>
      <c r="M351" s="111"/>
      <c r="N351" s="111"/>
      <c r="O351" s="111"/>
      <c r="P351" s="56"/>
      <c r="Q351" s="56"/>
      <c r="R351" s="56"/>
      <c r="S351" s="56"/>
      <c r="T351" s="56"/>
      <c r="U351" s="56"/>
      <c r="V351" s="56"/>
      <c r="W351" s="56"/>
    </row>
    <row r="352" spans="2:23" s="29" customFormat="1" x14ac:dyDescent="0.25">
      <c r="B352" s="56"/>
      <c r="C352" s="56"/>
      <c r="D352" s="56"/>
      <c r="E352" s="56"/>
      <c r="F352" s="56"/>
      <c r="G352" s="56"/>
      <c r="H352" s="56"/>
      <c r="I352" s="56"/>
      <c r="J352" s="56"/>
      <c r="K352" s="111"/>
      <c r="L352" s="111"/>
      <c r="M352" s="111"/>
      <c r="N352" s="111"/>
      <c r="O352" s="111"/>
      <c r="P352" s="56"/>
      <c r="Q352" s="56"/>
      <c r="R352" s="56"/>
      <c r="S352" s="56"/>
      <c r="T352" s="56"/>
      <c r="U352" s="56"/>
      <c r="V352" s="56"/>
      <c r="W352" s="56"/>
    </row>
    <row r="353" spans="2:23" s="29" customFormat="1" x14ac:dyDescent="0.25">
      <c r="B353" s="56"/>
      <c r="C353" s="56"/>
      <c r="D353" s="56"/>
      <c r="E353" s="56"/>
      <c r="F353" s="56"/>
      <c r="G353" s="56"/>
      <c r="H353" s="56"/>
      <c r="I353" s="56"/>
      <c r="J353" s="56"/>
      <c r="K353" s="111"/>
      <c r="L353" s="111"/>
      <c r="M353" s="111"/>
      <c r="N353" s="111"/>
      <c r="O353" s="111"/>
      <c r="P353" s="56"/>
      <c r="Q353" s="56"/>
      <c r="R353" s="56"/>
      <c r="S353" s="56"/>
      <c r="T353" s="56"/>
      <c r="U353" s="56"/>
      <c r="V353" s="56"/>
      <c r="W353" s="56"/>
    </row>
    <row r="354" spans="2:23" s="29" customFormat="1" x14ac:dyDescent="0.25">
      <c r="B354" s="56"/>
      <c r="C354" s="56"/>
      <c r="D354" s="56"/>
      <c r="E354" s="56"/>
      <c r="F354" s="56"/>
      <c r="G354" s="56"/>
      <c r="H354" s="56"/>
      <c r="I354" s="56"/>
      <c r="J354" s="56"/>
      <c r="K354" s="111"/>
      <c r="L354" s="111"/>
      <c r="M354" s="111"/>
      <c r="N354" s="111"/>
      <c r="O354" s="111"/>
      <c r="P354" s="56"/>
      <c r="Q354" s="56"/>
      <c r="R354" s="56"/>
      <c r="S354" s="56"/>
      <c r="T354" s="56"/>
      <c r="U354" s="56"/>
      <c r="V354" s="56"/>
      <c r="W354" s="56"/>
    </row>
    <row r="355" spans="2:23" s="29" customFormat="1" x14ac:dyDescent="0.25">
      <c r="B355" s="56"/>
      <c r="C355" s="56"/>
      <c r="D355" s="56"/>
      <c r="E355" s="56"/>
      <c r="F355" s="56"/>
      <c r="G355" s="56"/>
      <c r="H355" s="56"/>
      <c r="I355" s="56"/>
      <c r="J355" s="56"/>
      <c r="K355" s="111"/>
      <c r="L355" s="111"/>
      <c r="M355" s="111"/>
      <c r="N355" s="111"/>
      <c r="O355" s="111"/>
      <c r="P355" s="56"/>
      <c r="Q355" s="56"/>
      <c r="R355" s="56"/>
      <c r="S355" s="56"/>
      <c r="T355" s="56"/>
      <c r="U355" s="56"/>
      <c r="V355" s="56"/>
      <c r="W355" s="56"/>
    </row>
    <row r="356" spans="2:23" s="29" customFormat="1" x14ac:dyDescent="0.25">
      <c r="B356" s="56"/>
      <c r="C356" s="56"/>
      <c r="D356" s="56"/>
      <c r="E356" s="56"/>
      <c r="F356" s="56"/>
      <c r="G356" s="56"/>
      <c r="H356" s="56"/>
      <c r="I356" s="56"/>
      <c r="J356" s="56"/>
      <c r="K356" s="111"/>
      <c r="L356" s="111"/>
      <c r="M356" s="111"/>
      <c r="N356" s="111"/>
      <c r="O356" s="111"/>
      <c r="P356" s="56"/>
      <c r="Q356" s="56"/>
      <c r="R356" s="56"/>
      <c r="S356" s="56"/>
      <c r="T356" s="56"/>
      <c r="U356" s="56"/>
      <c r="V356" s="56"/>
      <c r="W356" s="56"/>
    </row>
    <row r="357" spans="2:23" s="29" customFormat="1" x14ac:dyDescent="0.25">
      <c r="B357" s="56"/>
      <c r="C357" s="56"/>
      <c r="D357" s="56"/>
      <c r="E357" s="56"/>
      <c r="F357" s="56"/>
      <c r="G357" s="56"/>
      <c r="H357" s="56"/>
      <c r="I357" s="56"/>
      <c r="J357" s="56"/>
      <c r="K357" s="111"/>
      <c r="L357" s="111"/>
      <c r="M357" s="111"/>
      <c r="N357" s="111"/>
      <c r="O357" s="111"/>
      <c r="P357" s="56"/>
      <c r="Q357" s="56"/>
      <c r="R357" s="56"/>
      <c r="S357" s="56"/>
      <c r="T357" s="56"/>
      <c r="U357" s="56"/>
      <c r="V357" s="56"/>
      <c r="W357" s="56"/>
    </row>
    <row r="358" spans="2:23" s="29" customFormat="1" x14ac:dyDescent="0.25">
      <c r="B358" s="56"/>
      <c r="C358" s="56"/>
      <c r="D358" s="56"/>
      <c r="E358" s="56"/>
      <c r="F358" s="56"/>
      <c r="G358" s="56"/>
      <c r="H358" s="56"/>
      <c r="I358" s="56"/>
      <c r="J358" s="56"/>
      <c r="K358" s="111"/>
      <c r="L358" s="111"/>
      <c r="M358" s="111"/>
      <c r="N358" s="111"/>
      <c r="O358" s="111"/>
      <c r="P358" s="56"/>
      <c r="Q358" s="56"/>
      <c r="R358" s="56"/>
      <c r="S358" s="56"/>
      <c r="T358" s="56"/>
      <c r="U358" s="56"/>
      <c r="V358" s="56"/>
      <c r="W358" s="56"/>
    </row>
    <row r="359" spans="2:23" s="29" customFormat="1" x14ac:dyDescent="0.25">
      <c r="B359" s="56"/>
      <c r="C359" s="56"/>
      <c r="D359" s="56"/>
      <c r="E359" s="56"/>
      <c r="F359" s="56"/>
      <c r="G359" s="56"/>
      <c r="H359" s="56"/>
      <c r="I359" s="56"/>
      <c r="J359" s="56"/>
      <c r="K359" s="111"/>
      <c r="L359" s="111"/>
      <c r="M359" s="111"/>
      <c r="N359" s="111"/>
      <c r="O359" s="111"/>
      <c r="P359" s="56"/>
      <c r="Q359" s="56"/>
      <c r="R359" s="56"/>
      <c r="S359" s="56"/>
      <c r="T359" s="56"/>
      <c r="U359" s="56"/>
      <c r="V359" s="56"/>
      <c r="W359" s="56"/>
    </row>
    <row r="360" spans="2:23" s="29" customFormat="1" x14ac:dyDescent="0.25">
      <c r="B360" s="56"/>
      <c r="C360" s="56"/>
      <c r="D360" s="56"/>
      <c r="E360" s="56"/>
      <c r="F360" s="56"/>
      <c r="G360" s="56"/>
      <c r="H360" s="56"/>
      <c r="I360" s="56"/>
      <c r="J360" s="56"/>
      <c r="K360" s="111"/>
      <c r="L360" s="111"/>
      <c r="M360" s="111"/>
      <c r="N360" s="111"/>
      <c r="O360" s="111"/>
      <c r="P360" s="56"/>
      <c r="Q360" s="56"/>
      <c r="R360" s="56"/>
      <c r="S360" s="56"/>
      <c r="T360" s="56"/>
      <c r="U360" s="56"/>
      <c r="V360" s="56"/>
      <c r="W360" s="56"/>
    </row>
    <row r="361" spans="2:23" s="29" customFormat="1" x14ac:dyDescent="0.25">
      <c r="B361" s="56"/>
      <c r="C361" s="56"/>
      <c r="D361" s="56"/>
      <c r="E361" s="56"/>
      <c r="F361" s="56"/>
      <c r="G361" s="56"/>
      <c r="H361" s="56"/>
      <c r="I361" s="56"/>
      <c r="J361" s="56"/>
      <c r="K361" s="111"/>
      <c r="L361" s="111"/>
      <c r="M361" s="111"/>
      <c r="N361" s="111"/>
      <c r="O361" s="111"/>
      <c r="P361" s="56"/>
      <c r="Q361" s="56"/>
      <c r="R361" s="56"/>
      <c r="S361" s="56"/>
      <c r="T361" s="56"/>
      <c r="U361" s="56"/>
      <c r="V361" s="56"/>
      <c r="W361" s="56"/>
    </row>
    <row r="362" spans="2:23" s="29" customFormat="1" x14ac:dyDescent="0.25">
      <c r="B362" s="56"/>
      <c r="C362" s="56"/>
      <c r="D362" s="56"/>
      <c r="E362" s="56"/>
      <c r="F362" s="56"/>
      <c r="G362" s="56"/>
      <c r="H362" s="56"/>
      <c r="I362" s="56"/>
      <c r="J362" s="56"/>
      <c r="K362" s="111"/>
      <c r="L362" s="111"/>
      <c r="M362" s="111"/>
      <c r="N362" s="111"/>
      <c r="O362" s="111"/>
      <c r="P362" s="56"/>
      <c r="Q362" s="56"/>
      <c r="R362" s="56"/>
      <c r="S362" s="56"/>
      <c r="T362" s="56"/>
      <c r="U362" s="56"/>
      <c r="V362" s="56"/>
      <c r="W362" s="56"/>
    </row>
    <row r="363" spans="2:23" s="29" customFormat="1" x14ac:dyDescent="0.25">
      <c r="B363" s="56"/>
      <c r="C363" s="56"/>
      <c r="D363" s="56"/>
      <c r="E363" s="56"/>
      <c r="F363" s="56"/>
      <c r="G363" s="56"/>
      <c r="H363" s="56"/>
      <c r="I363" s="56"/>
      <c r="J363" s="56"/>
      <c r="K363" s="111"/>
      <c r="L363" s="111"/>
      <c r="M363" s="111"/>
      <c r="N363" s="111"/>
      <c r="O363" s="111"/>
      <c r="P363" s="56"/>
      <c r="Q363" s="56"/>
      <c r="R363" s="56"/>
      <c r="S363" s="56"/>
      <c r="T363" s="56"/>
      <c r="U363" s="56"/>
      <c r="V363" s="56"/>
      <c r="W363" s="56"/>
    </row>
    <row r="364" spans="2:23" s="29" customFormat="1" x14ac:dyDescent="0.25">
      <c r="B364" s="56"/>
      <c r="C364" s="56"/>
      <c r="D364" s="56"/>
      <c r="E364" s="56"/>
      <c r="F364" s="56"/>
      <c r="G364" s="56"/>
      <c r="H364" s="56"/>
      <c r="I364" s="56"/>
      <c r="J364" s="56"/>
      <c r="K364" s="111"/>
      <c r="L364" s="111"/>
      <c r="M364" s="111"/>
      <c r="N364" s="111"/>
      <c r="O364" s="111"/>
      <c r="P364" s="56"/>
      <c r="Q364" s="56"/>
      <c r="R364" s="56"/>
      <c r="S364" s="56"/>
      <c r="T364" s="56"/>
      <c r="U364" s="56"/>
      <c r="V364" s="56"/>
      <c r="W364" s="56"/>
    </row>
    <row r="365" spans="2:23" s="29" customFormat="1" x14ac:dyDescent="0.25">
      <c r="B365" s="56"/>
      <c r="C365" s="56"/>
      <c r="D365" s="56"/>
      <c r="E365" s="56"/>
      <c r="F365" s="56"/>
      <c r="G365" s="56"/>
      <c r="H365" s="56"/>
      <c r="I365" s="56"/>
      <c r="J365" s="56"/>
      <c r="K365" s="111"/>
      <c r="L365" s="111"/>
      <c r="M365" s="111"/>
      <c r="N365" s="111"/>
      <c r="O365" s="111"/>
      <c r="P365" s="56"/>
      <c r="Q365" s="56"/>
      <c r="R365" s="56"/>
      <c r="S365" s="56"/>
      <c r="T365" s="56"/>
      <c r="U365" s="56"/>
      <c r="V365" s="56"/>
      <c r="W365" s="56"/>
    </row>
    <row r="366" spans="2:23" s="29" customFormat="1" x14ac:dyDescent="0.25">
      <c r="B366" s="56"/>
      <c r="C366" s="56"/>
      <c r="D366" s="56"/>
      <c r="E366" s="56"/>
      <c r="F366" s="56"/>
      <c r="G366" s="56"/>
      <c r="H366" s="56"/>
      <c r="I366" s="56"/>
      <c r="J366" s="56"/>
      <c r="K366" s="111"/>
      <c r="L366" s="111"/>
      <c r="M366" s="111"/>
      <c r="N366" s="111"/>
      <c r="O366" s="111"/>
      <c r="P366" s="56"/>
      <c r="Q366" s="56"/>
      <c r="R366" s="56"/>
      <c r="S366" s="56"/>
      <c r="T366" s="56"/>
      <c r="U366" s="56"/>
      <c r="V366" s="56"/>
      <c r="W366" s="56"/>
    </row>
    <row r="367" spans="2:23" s="29" customFormat="1" x14ac:dyDescent="0.25">
      <c r="B367" s="56"/>
      <c r="C367" s="56"/>
      <c r="D367" s="56"/>
      <c r="E367" s="56"/>
      <c r="F367" s="56"/>
      <c r="G367" s="56"/>
      <c r="H367" s="56"/>
      <c r="I367" s="56"/>
      <c r="J367" s="56"/>
      <c r="K367" s="111"/>
      <c r="L367" s="111"/>
      <c r="M367" s="111"/>
      <c r="N367" s="111"/>
      <c r="O367" s="111"/>
      <c r="P367" s="56"/>
      <c r="Q367" s="56"/>
      <c r="R367" s="56"/>
      <c r="S367" s="56"/>
      <c r="T367" s="56"/>
      <c r="U367" s="56"/>
      <c r="V367" s="56"/>
      <c r="W367" s="56"/>
    </row>
    <row r="368" spans="2:23" s="29" customFormat="1" x14ac:dyDescent="0.25">
      <c r="B368" s="56"/>
      <c r="C368" s="56"/>
      <c r="D368" s="56"/>
      <c r="E368" s="56"/>
      <c r="F368" s="56"/>
      <c r="G368" s="56"/>
      <c r="H368" s="56"/>
      <c r="I368" s="56"/>
      <c r="J368" s="56"/>
      <c r="K368" s="111"/>
      <c r="L368" s="111"/>
      <c r="M368" s="111"/>
      <c r="N368" s="111"/>
      <c r="O368" s="111"/>
      <c r="P368" s="56"/>
      <c r="Q368" s="56"/>
      <c r="R368" s="56"/>
      <c r="S368" s="56"/>
      <c r="T368" s="56"/>
      <c r="U368" s="56"/>
      <c r="V368" s="56"/>
      <c r="W368" s="56"/>
    </row>
    <row r="369" spans="2:23" s="29" customFormat="1" x14ac:dyDescent="0.25">
      <c r="B369" s="56"/>
      <c r="C369" s="56"/>
      <c r="D369" s="56"/>
      <c r="E369" s="56"/>
      <c r="F369" s="56"/>
      <c r="G369" s="56"/>
      <c r="H369" s="56"/>
      <c r="I369" s="56"/>
      <c r="J369" s="56"/>
      <c r="K369" s="111"/>
      <c r="L369" s="111"/>
      <c r="M369" s="111"/>
      <c r="N369" s="111"/>
      <c r="O369" s="111"/>
      <c r="P369" s="56"/>
      <c r="Q369" s="56"/>
      <c r="R369" s="56"/>
      <c r="S369" s="56"/>
      <c r="T369" s="56"/>
      <c r="U369" s="56"/>
      <c r="V369" s="56"/>
      <c r="W369" s="56"/>
    </row>
    <row r="370" spans="2:23" s="29" customFormat="1" x14ac:dyDescent="0.25">
      <c r="B370" s="56"/>
      <c r="C370" s="56"/>
      <c r="D370" s="56"/>
      <c r="E370" s="56"/>
      <c r="F370" s="56"/>
      <c r="G370" s="56"/>
      <c r="H370" s="56"/>
      <c r="I370" s="56"/>
      <c r="J370" s="56"/>
      <c r="K370" s="111"/>
      <c r="L370" s="111"/>
      <c r="M370" s="111"/>
      <c r="N370" s="111"/>
      <c r="O370" s="111"/>
      <c r="P370" s="56"/>
      <c r="Q370" s="56"/>
      <c r="R370" s="56"/>
      <c r="S370" s="56"/>
      <c r="T370" s="56"/>
      <c r="U370" s="56"/>
      <c r="V370" s="56"/>
      <c r="W370" s="56"/>
    </row>
    <row r="371" spans="2:23" s="29" customFormat="1" x14ac:dyDescent="0.25">
      <c r="B371" s="56"/>
      <c r="C371" s="56"/>
      <c r="D371" s="56"/>
      <c r="E371" s="56"/>
      <c r="F371" s="56"/>
      <c r="G371" s="56"/>
      <c r="H371" s="56"/>
      <c r="I371" s="56"/>
      <c r="J371" s="56"/>
      <c r="K371" s="111"/>
      <c r="L371" s="111"/>
      <c r="M371" s="111"/>
      <c r="N371" s="111"/>
      <c r="O371" s="111"/>
      <c r="P371" s="56"/>
      <c r="Q371" s="56"/>
      <c r="R371" s="56"/>
      <c r="S371" s="56"/>
      <c r="T371" s="56"/>
      <c r="U371" s="56"/>
      <c r="V371" s="56"/>
      <c r="W371" s="56"/>
    </row>
    <row r="372" spans="2:23" s="29" customFormat="1" x14ac:dyDescent="0.25">
      <c r="B372" s="56"/>
      <c r="C372" s="56"/>
      <c r="D372" s="56"/>
      <c r="E372" s="56"/>
      <c r="F372" s="56"/>
      <c r="G372" s="56"/>
      <c r="H372" s="56"/>
      <c r="I372" s="56"/>
      <c r="J372" s="56"/>
      <c r="K372" s="111"/>
      <c r="L372" s="111"/>
      <c r="M372" s="111"/>
      <c r="N372" s="111"/>
      <c r="O372" s="111"/>
      <c r="P372" s="56"/>
      <c r="Q372" s="56"/>
      <c r="R372" s="56"/>
      <c r="S372" s="56"/>
      <c r="T372" s="56"/>
      <c r="U372" s="56"/>
      <c r="V372" s="56"/>
      <c r="W372" s="56"/>
    </row>
    <row r="373" spans="2:23" s="29" customFormat="1" x14ac:dyDescent="0.25">
      <c r="B373" s="56"/>
      <c r="C373" s="56"/>
      <c r="D373" s="56"/>
      <c r="E373" s="56"/>
      <c r="F373" s="56"/>
      <c r="G373" s="56"/>
      <c r="H373" s="56"/>
      <c r="I373" s="56"/>
      <c r="J373" s="56"/>
      <c r="K373" s="111"/>
      <c r="L373" s="111"/>
      <c r="M373" s="111"/>
      <c r="N373" s="111"/>
      <c r="O373" s="111"/>
      <c r="P373" s="56"/>
      <c r="Q373" s="56"/>
      <c r="R373" s="56"/>
      <c r="S373" s="56"/>
      <c r="T373" s="56"/>
      <c r="U373" s="56"/>
      <c r="V373" s="56"/>
      <c r="W373" s="56"/>
    </row>
    <row r="374" spans="2:23" s="29" customFormat="1" x14ac:dyDescent="0.25">
      <c r="B374" s="56"/>
      <c r="C374" s="56"/>
      <c r="D374" s="56"/>
      <c r="E374" s="56"/>
      <c r="F374" s="56"/>
      <c r="G374" s="56"/>
      <c r="H374" s="56"/>
      <c r="I374" s="56"/>
      <c r="J374" s="56"/>
      <c r="K374" s="111"/>
      <c r="L374" s="111"/>
      <c r="M374" s="111"/>
      <c r="N374" s="111"/>
      <c r="O374" s="111"/>
      <c r="P374" s="56"/>
      <c r="Q374" s="56"/>
      <c r="R374" s="56"/>
      <c r="S374" s="56"/>
      <c r="T374" s="56"/>
      <c r="U374" s="56"/>
      <c r="V374" s="56"/>
      <c r="W374" s="56"/>
    </row>
    <row r="375" spans="2:23" s="29" customFormat="1" x14ac:dyDescent="0.25">
      <c r="B375" s="56"/>
      <c r="C375" s="56"/>
      <c r="D375" s="56"/>
      <c r="E375" s="56"/>
      <c r="F375" s="56"/>
      <c r="G375" s="56"/>
      <c r="H375" s="56"/>
      <c r="I375" s="56"/>
      <c r="J375" s="56"/>
      <c r="K375" s="111"/>
      <c r="L375" s="111"/>
      <c r="M375" s="111"/>
      <c r="N375" s="111"/>
      <c r="O375" s="111"/>
      <c r="P375" s="56"/>
      <c r="Q375" s="56"/>
      <c r="R375" s="56"/>
      <c r="S375" s="56"/>
      <c r="T375" s="56"/>
      <c r="U375" s="56"/>
      <c r="V375" s="56"/>
      <c r="W375" s="56"/>
    </row>
    <row r="376" spans="2:23" s="29" customFormat="1" x14ac:dyDescent="0.25">
      <c r="B376" s="56"/>
      <c r="C376" s="56"/>
      <c r="D376" s="56"/>
      <c r="E376" s="56"/>
      <c r="F376" s="56"/>
      <c r="G376" s="56"/>
      <c r="H376" s="56"/>
      <c r="I376" s="56"/>
      <c r="J376" s="56"/>
      <c r="K376" s="111"/>
      <c r="L376" s="111"/>
      <c r="M376" s="111"/>
      <c r="N376" s="111"/>
      <c r="O376" s="111"/>
      <c r="P376" s="56"/>
      <c r="Q376" s="56"/>
      <c r="R376" s="56"/>
      <c r="S376" s="56"/>
      <c r="T376" s="56"/>
      <c r="U376" s="56"/>
      <c r="V376" s="56"/>
      <c r="W376" s="56"/>
    </row>
    <row r="377" spans="2:23" s="29" customFormat="1" x14ac:dyDescent="0.25">
      <c r="B377" s="56"/>
      <c r="C377" s="56"/>
      <c r="D377" s="56"/>
      <c r="E377" s="56"/>
      <c r="F377" s="56"/>
      <c r="G377" s="56"/>
      <c r="H377" s="56"/>
      <c r="I377" s="56"/>
      <c r="J377" s="56"/>
      <c r="K377" s="111"/>
      <c r="L377" s="111"/>
      <c r="M377" s="111"/>
      <c r="N377" s="111"/>
      <c r="O377" s="111"/>
      <c r="P377" s="56"/>
      <c r="Q377" s="56"/>
      <c r="R377" s="56"/>
      <c r="S377" s="56"/>
      <c r="T377" s="56"/>
      <c r="U377" s="56"/>
      <c r="V377" s="56"/>
      <c r="W377" s="56"/>
    </row>
    <row r="378" spans="2:23" s="29" customFormat="1" x14ac:dyDescent="0.25">
      <c r="B378" s="56"/>
      <c r="C378" s="56"/>
      <c r="D378" s="56"/>
      <c r="E378" s="56"/>
      <c r="F378" s="56"/>
      <c r="G378" s="56"/>
      <c r="H378" s="56"/>
      <c r="I378" s="56"/>
      <c r="J378" s="56"/>
      <c r="K378" s="111"/>
      <c r="L378" s="111"/>
      <c r="M378" s="111"/>
      <c r="N378" s="111"/>
      <c r="O378" s="111"/>
      <c r="P378" s="56"/>
      <c r="Q378" s="56"/>
      <c r="R378" s="56"/>
      <c r="S378" s="56"/>
      <c r="T378" s="56"/>
      <c r="U378" s="56"/>
      <c r="V378" s="56"/>
      <c r="W378" s="56"/>
    </row>
    <row r="379" spans="2:23" s="29" customFormat="1" x14ac:dyDescent="0.25">
      <c r="B379" s="56"/>
      <c r="C379" s="56"/>
      <c r="D379" s="56"/>
      <c r="E379" s="56"/>
      <c r="F379" s="56"/>
      <c r="G379" s="56"/>
      <c r="H379" s="56"/>
      <c r="I379" s="56"/>
      <c r="J379" s="56"/>
      <c r="K379" s="111"/>
      <c r="L379" s="111"/>
      <c r="M379" s="111"/>
      <c r="N379" s="111"/>
      <c r="O379" s="111"/>
      <c r="P379" s="56"/>
      <c r="Q379" s="56"/>
      <c r="R379" s="56"/>
      <c r="S379" s="56"/>
      <c r="T379" s="56"/>
      <c r="U379" s="56"/>
      <c r="V379" s="56"/>
      <c r="W379" s="56"/>
    </row>
    <row r="380" spans="2:23" s="29" customFormat="1" x14ac:dyDescent="0.25">
      <c r="B380" s="56"/>
      <c r="C380" s="56"/>
      <c r="D380" s="56"/>
      <c r="E380" s="56"/>
      <c r="F380" s="56"/>
      <c r="G380" s="56"/>
      <c r="H380" s="56"/>
      <c r="I380" s="56"/>
      <c r="J380" s="56"/>
      <c r="K380" s="111"/>
      <c r="L380" s="111"/>
      <c r="M380" s="111"/>
      <c r="N380" s="111"/>
      <c r="O380" s="111"/>
      <c r="P380" s="56"/>
      <c r="Q380" s="56"/>
      <c r="R380" s="56"/>
      <c r="S380" s="56"/>
      <c r="T380" s="56"/>
      <c r="U380" s="56"/>
      <c r="V380" s="56"/>
      <c r="W380" s="56"/>
    </row>
    <row r="381" spans="2:23" s="29" customFormat="1" x14ac:dyDescent="0.25">
      <c r="B381" s="56"/>
      <c r="C381" s="56"/>
      <c r="D381" s="56"/>
      <c r="E381" s="56"/>
      <c r="F381" s="56"/>
      <c r="G381" s="56"/>
      <c r="H381" s="56"/>
      <c r="I381" s="56"/>
      <c r="J381" s="56"/>
      <c r="K381" s="111"/>
      <c r="L381" s="111"/>
      <c r="M381" s="111"/>
      <c r="N381" s="111"/>
      <c r="O381" s="111"/>
      <c r="P381" s="56"/>
      <c r="Q381" s="56"/>
      <c r="R381" s="56"/>
      <c r="S381" s="56"/>
      <c r="T381" s="56"/>
      <c r="U381" s="56"/>
      <c r="V381" s="56"/>
      <c r="W381" s="56"/>
    </row>
    <row r="382" spans="2:23" s="29" customFormat="1" x14ac:dyDescent="0.25">
      <c r="B382" s="56"/>
      <c r="C382" s="56"/>
      <c r="D382" s="56"/>
      <c r="E382" s="56"/>
      <c r="F382" s="56"/>
      <c r="G382" s="56"/>
      <c r="H382" s="56"/>
      <c r="I382" s="56"/>
      <c r="J382" s="56"/>
      <c r="K382" s="111"/>
      <c r="L382" s="111"/>
      <c r="M382" s="111"/>
      <c r="N382" s="111"/>
      <c r="O382" s="111"/>
      <c r="P382" s="56"/>
      <c r="Q382" s="56"/>
      <c r="R382" s="56"/>
      <c r="S382" s="56"/>
      <c r="T382" s="56"/>
      <c r="U382" s="56"/>
      <c r="V382" s="56"/>
      <c r="W382" s="56"/>
    </row>
    <row r="383" spans="2:23" s="29" customFormat="1" x14ac:dyDescent="0.25">
      <c r="B383" s="56"/>
      <c r="C383" s="56"/>
      <c r="D383" s="56"/>
      <c r="E383" s="56"/>
      <c r="F383" s="56"/>
      <c r="G383" s="56"/>
      <c r="H383" s="56"/>
      <c r="I383" s="56"/>
      <c r="J383" s="56"/>
      <c r="K383" s="111"/>
      <c r="L383" s="111"/>
      <c r="M383" s="111"/>
      <c r="N383" s="111"/>
      <c r="O383" s="111"/>
      <c r="P383" s="56"/>
      <c r="Q383" s="56"/>
      <c r="R383" s="56"/>
      <c r="S383" s="56"/>
      <c r="T383" s="56"/>
      <c r="U383" s="56"/>
      <c r="V383" s="56"/>
      <c r="W383" s="56"/>
    </row>
    <row r="384" spans="2:23" s="29" customFormat="1" x14ac:dyDescent="0.25">
      <c r="B384" s="56"/>
      <c r="C384" s="56"/>
      <c r="D384" s="56"/>
      <c r="E384" s="56"/>
      <c r="F384" s="56"/>
      <c r="G384" s="56"/>
      <c r="H384" s="56"/>
      <c r="I384" s="56"/>
      <c r="J384" s="56"/>
      <c r="K384" s="111"/>
      <c r="L384" s="111"/>
      <c r="M384" s="111"/>
      <c r="N384" s="111"/>
      <c r="O384" s="111"/>
      <c r="P384" s="56"/>
      <c r="Q384" s="56"/>
      <c r="R384" s="56"/>
      <c r="S384" s="56"/>
      <c r="T384" s="56"/>
      <c r="U384" s="56"/>
      <c r="V384" s="56"/>
      <c r="W384" s="56"/>
    </row>
    <row r="385" spans="2:23" s="29" customFormat="1" x14ac:dyDescent="0.25">
      <c r="B385" s="56"/>
      <c r="C385" s="56"/>
      <c r="D385" s="56"/>
      <c r="E385" s="56"/>
      <c r="F385" s="56"/>
      <c r="G385" s="56"/>
      <c r="H385" s="56"/>
      <c r="I385" s="56"/>
      <c r="J385" s="56"/>
      <c r="K385" s="111"/>
      <c r="L385" s="111"/>
      <c r="M385" s="111"/>
      <c r="N385" s="111"/>
      <c r="O385" s="111"/>
      <c r="P385" s="56"/>
      <c r="Q385" s="56"/>
      <c r="R385" s="56"/>
      <c r="S385" s="56"/>
      <c r="T385" s="56"/>
      <c r="U385" s="56"/>
      <c r="V385" s="56"/>
      <c r="W385" s="56"/>
    </row>
    <row r="386" spans="2:23" s="29" customFormat="1" x14ac:dyDescent="0.25">
      <c r="B386" s="56"/>
      <c r="C386" s="56"/>
      <c r="D386" s="56"/>
      <c r="E386" s="56"/>
      <c r="F386" s="56"/>
      <c r="G386" s="56"/>
      <c r="H386" s="56"/>
      <c r="I386" s="56"/>
      <c r="J386" s="56"/>
      <c r="K386" s="111"/>
      <c r="L386" s="111"/>
      <c r="M386" s="111"/>
      <c r="N386" s="111"/>
      <c r="O386" s="111"/>
      <c r="P386" s="56"/>
      <c r="Q386" s="56"/>
      <c r="R386" s="56"/>
      <c r="S386" s="56"/>
      <c r="T386" s="56"/>
      <c r="U386" s="56"/>
      <c r="V386" s="56"/>
      <c r="W386" s="56"/>
    </row>
    <row r="387" spans="2:23" s="29" customFormat="1" x14ac:dyDescent="0.25">
      <c r="B387" s="56"/>
      <c r="C387" s="56"/>
      <c r="D387" s="56"/>
      <c r="E387" s="56"/>
      <c r="F387" s="56"/>
      <c r="G387" s="56"/>
      <c r="H387" s="56"/>
      <c r="I387" s="56"/>
      <c r="J387" s="56"/>
      <c r="K387" s="111"/>
      <c r="L387" s="111"/>
      <c r="M387" s="111"/>
      <c r="N387" s="111"/>
      <c r="O387" s="111"/>
      <c r="P387" s="56"/>
      <c r="Q387" s="56"/>
      <c r="R387" s="56"/>
      <c r="S387" s="56"/>
      <c r="T387" s="56"/>
      <c r="U387" s="56"/>
      <c r="V387" s="56"/>
      <c r="W387" s="56"/>
    </row>
    <row r="388" spans="2:23" s="29" customFormat="1" x14ac:dyDescent="0.25">
      <c r="B388" s="56"/>
      <c r="C388" s="56"/>
      <c r="D388" s="56"/>
      <c r="E388" s="56"/>
      <c r="F388" s="56"/>
      <c r="G388" s="56"/>
      <c r="H388" s="56"/>
      <c r="I388" s="56"/>
      <c r="J388" s="56"/>
      <c r="K388" s="111"/>
      <c r="L388" s="111"/>
      <c r="M388" s="111"/>
      <c r="N388" s="111"/>
      <c r="O388" s="111"/>
      <c r="P388" s="56"/>
      <c r="Q388" s="56"/>
      <c r="R388" s="56"/>
      <c r="S388" s="56"/>
      <c r="T388" s="56"/>
      <c r="U388" s="56"/>
      <c r="V388" s="56"/>
      <c r="W388" s="56"/>
    </row>
    <row r="389" spans="2:23" s="29" customFormat="1" x14ac:dyDescent="0.25">
      <c r="B389" s="56"/>
      <c r="C389" s="56"/>
      <c r="D389" s="56"/>
      <c r="E389" s="56"/>
      <c r="F389" s="56"/>
      <c r="G389" s="56"/>
      <c r="H389" s="56"/>
      <c r="I389" s="56"/>
      <c r="J389" s="56"/>
      <c r="K389" s="111"/>
      <c r="L389" s="111"/>
      <c r="M389" s="111"/>
      <c r="N389" s="111"/>
      <c r="O389" s="111"/>
      <c r="P389" s="56"/>
      <c r="Q389" s="56"/>
      <c r="R389" s="56"/>
      <c r="S389" s="56"/>
      <c r="T389" s="56"/>
      <c r="U389" s="56"/>
      <c r="V389" s="56"/>
      <c r="W389" s="56"/>
    </row>
    <row r="390" spans="2:23" s="29" customFormat="1" x14ac:dyDescent="0.25">
      <c r="B390" s="56"/>
      <c r="C390" s="56"/>
      <c r="D390" s="56"/>
      <c r="E390" s="56"/>
      <c r="F390" s="56"/>
      <c r="G390" s="56"/>
      <c r="H390" s="56"/>
      <c r="I390" s="56"/>
      <c r="J390" s="56"/>
      <c r="K390" s="111"/>
      <c r="L390" s="111"/>
      <c r="M390" s="111"/>
      <c r="N390" s="111"/>
      <c r="O390" s="111"/>
      <c r="P390" s="56"/>
      <c r="Q390" s="56"/>
      <c r="R390" s="56"/>
      <c r="S390" s="56"/>
      <c r="T390" s="56"/>
      <c r="U390" s="56"/>
      <c r="V390" s="56"/>
      <c r="W390" s="56"/>
    </row>
    <row r="391" spans="2:23" s="29" customFormat="1" x14ac:dyDescent="0.25">
      <c r="B391" s="56"/>
      <c r="C391" s="56"/>
      <c r="D391" s="56"/>
      <c r="E391" s="56"/>
      <c r="F391" s="56"/>
      <c r="G391" s="56"/>
      <c r="H391" s="56"/>
      <c r="I391" s="56"/>
      <c r="J391" s="56"/>
      <c r="K391" s="111"/>
      <c r="L391" s="111"/>
      <c r="M391" s="111"/>
      <c r="N391" s="111"/>
      <c r="O391" s="111"/>
      <c r="P391" s="56"/>
      <c r="Q391" s="56"/>
      <c r="R391" s="56"/>
      <c r="S391" s="56"/>
      <c r="T391" s="56"/>
      <c r="U391" s="56"/>
      <c r="V391" s="56"/>
      <c r="W391" s="56"/>
    </row>
    <row r="392" spans="2:23" s="29" customFormat="1" x14ac:dyDescent="0.25">
      <c r="B392" s="56"/>
      <c r="C392" s="56"/>
      <c r="D392" s="56"/>
      <c r="E392" s="56"/>
      <c r="F392" s="56"/>
      <c r="G392" s="56"/>
      <c r="H392" s="56"/>
      <c r="I392" s="56"/>
      <c r="J392" s="56"/>
      <c r="K392" s="111"/>
      <c r="L392" s="111"/>
      <c r="M392" s="111"/>
      <c r="N392" s="111"/>
      <c r="O392" s="111"/>
      <c r="P392" s="56"/>
      <c r="Q392" s="56"/>
      <c r="R392" s="56"/>
      <c r="S392" s="56"/>
      <c r="T392" s="56"/>
      <c r="U392" s="56"/>
      <c r="V392" s="56"/>
      <c r="W392" s="56"/>
    </row>
    <row r="393" spans="2:23" s="29" customFormat="1" x14ac:dyDescent="0.25">
      <c r="B393" s="56"/>
      <c r="C393" s="56"/>
      <c r="D393" s="56"/>
      <c r="E393" s="56"/>
      <c r="F393" s="56"/>
      <c r="G393" s="56"/>
      <c r="H393" s="56"/>
      <c r="I393" s="56"/>
      <c r="J393" s="56"/>
      <c r="K393" s="111"/>
      <c r="L393" s="111"/>
      <c r="M393" s="111"/>
      <c r="N393" s="111"/>
      <c r="O393" s="111"/>
      <c r="P393" s="56"/>
      <c r="Q393" s="56"/>
      <c r="R393" s="56"/>
      <c r="S393" s="56"/>
      <c r="T393" s="56"/>
      <c r="U393" s="56"/>
      <c r="V393" s="56"/>
      <c r="W393" s="56"/>
    </row>
    <row r="394" spans="2:23" s="29" customFormat="1" x14ac:dyDescent="0.25">
      <c r="B394" s="56"/>
      <c r="C394" s="56"/>
      <c r="D394" s="56"/>
      <c r="E394" s="56"/>
      <c r="F394" s="56"/>
      <c r="G394" s="56"/>
      <c r="H394" s="56"/>
      <c r="I394" s="56"/>
      <c r="J394" s="56"/>
      <c r="K394" s="111"/>
      <c r="L394" s="111"/>
      <c r="M394" s="111"/>
      <c r="N394" s="111"/>
      <c r="O394" s="111"/>
      <c r="P394" s="56"/>
      <c r="Q394" s="56"/>
      <c r="R394" s="56"/>
      <c r="S394" s="56"/>
      <c r="T394" s="56"/>
      <c r="U394" s="56"/>
      <c r="V394" s="56"/>
      <c r="W394" s="56"/>
    </row>
    <row r="395" spans="2:23" s="29" customFormat="1" x14ac:dyDescent="0.25">
      <c r="B395" s="56"/>
      <c r="C395" s="56"/>
      <c r="D395" s="56"/>
      <c r="E395" s="56"/>
      <c r="F395" s="56"/>
      <c r="G395" s="56"/>
      <c r="H395" s="56"/>
      <c r="I395" s="56"/>
      <c r="J395" s="56"/>
      <c r="K395" s="111"/>
      <c r="L395" s="111"/>
      <c r="M395" s="111"/>
      <c r="N395" s="111"/>
      <c r="O395" s="111"/>
      <c r="P395" s="56"/>
      <c r="Q395" s="56"/>
      <c r="R395" s="56"/>
      <c r="S395" s="56"/>
      <c r="T395" s="56"/>
      <c r="U395" s="56"/>
      <c r="V395" s="56"/>
      <c r="W395" s="56"/>
    </row>
    <row r="396" spans="2:23" s="29" customFormat="1" x14ac:dyDescent="0.25">
      <c r="B396" s="56"/>
      <c r="C396" s="56"/>
      <c r="D396" s="56"/>
      <c r="E396" s="56"/>
      <c r="F396" s="56"/>
      <c r="G396" s="56"/>
      <c r="H396" s="56"/>
      <c r="I396" s="56"/>
      <c r="J396" s="56"/>
      <c r="K396" s="111"/>
      <c r="L396" s="111"/>
      <c r="M396" s="111"/>
      <c r="N396" s="111"/>
      <c r="O396" s="111"/>
      <c r="P396" s="56"/>
      <c r="Q396" s="56"/>
      <c r="R396" s="56"/>
      <c r="S396" s="56"/>
      <c r="T396" s="56"/>
      <c r="U396" s="56"/>
      <c r="V396" s="56"/>
      <c r="W396" s="56"/>
    </row>
    <row r="397" spans="2:23" s="29" customFormat="1" x14ac:dyDescent="0.25">
      <c r="B397" s="56"/>
      <c r="C397" s="56"/>
      <c r="D397" s="56"/>
      <c r="E397" s="56"/>
      <c r="F397" s="56"/>
      <c r="G397" s="56"/>
      <c r="H397" s="56"/>
      <c r="I397" s="56"/>
      <c r="J397" s="56"/>
      <c r="K397" s="111"/>
      <c r="L397" s="111"/>
      <c r="M397" s="111"/>
      <c r="N397" s="111"/>
      <c r="O397" s="111"/>
      <c r="P397" s="56"/>
      <c r="Q397" s="56"/>
      <c r="R397" s="56"/>
      <c r="S397" s="56"/>
      <c r="T397" s="56"/>
      <c r="U397" s="56"/>
      <c r="V397" s="56"/>
      <c r="W397" s="56"/>
    </row>
    <row r="398" spans="2:23" s="29" customFormat="1" x14ac:dyDescent="0.25">
      <c r="B398" s="56"/>
      <c r="C398" s="56"/>
      <c r="D398" s="56"/>
      <c r="E398" s="56"/>
      <c r="F398" s="56"/>
      <c r="G398" s="56"/>
      <c r="H398" s="56"/>
      <c r="I398" s="56"/>
      <c r="J398" s="56"/>
      <c r="K398" s="111"/>
      <c r="L398" s="111"/>
      <c r="M398" s="111"/>
      <c r="N398" s="111"/>
      <c r="O398" s="111"/>
      <c r="P398" s="56"/>
      <c r="Q398" s="56"/>
      <c r="R398" s="56"/>
      <c r="S398" s="56"/>
      <c r="T398" s="56"/>
      <c r="U398" s="56"/>
      <c r="V398" s="56"/>
      <c r="W398" s="56"/>
    </row>
    <row r="399" spans="2:23" s="29" customFormat="1" x14ac:dyDescent="0.25">
      <c r="B399" s="56"/>
      <c r="C399" s="56"/>
      <c r="D399" s="56"/>
      <c r="E399" s="56"/>
      <c r="F399" s="56"/>
      <c r="G399" s="56"/>
      <c r="H399" s="56"/>
      <c r="I399" s="56"/>
      <c r="J399" s="56"/>
      <c r="K399" s="111"/>
      <c r="L399" s="111"/>
      <c r="M399" s="111"/>
      <c r="N399" s="111"/>
      <c r="O399" s="111"/>
      <c r="P399" s="56"/>
      <c r="Q399" s="56"/>
      <c r="R399" s="56"/>
      <c r="S399" s="56"/>
      <c r="T399" s="56"/>
      <c r="U399" s="56"/>
      <c r="V399" s="56"/>
      <c r="W399" s="56"/>
    </row>
    <row r="400" spans="2:23" s="29" customFormat="1" x14ac:dyDescent="0.25">
      <c r="B400" s="56"/>
      <c r="C400" s="56"/>
      <c r="D400" s="56"/>
      <c r="E400" s="56"/>
      <c r="F400" s="56"/>
      <c r="G400" s="56"/>
      <c r="H400" s="56"/>
      <c r="I400" s="56"/>
      <c r="J400" s="56"/>
      <c r="K400" s="111"/>
      <c r="L400" s="111"/>
      <c r="M400" s="111"/>
      <c r="N400" s="111"/>
      <c r="O400" s="111"/>
      <c r="P400" s="56"/>
      <c r="Q400" s="56"/>
      <c r="R400" s="56"/>
      <c r="S400" s="56"/>
      <c r="T400" s="56"/>
      <c r="U400" s="56"/>
      <c r="V400" s="56"/>
      <c r="W400" s="56"/>
    </row>
    <row r="401" spans="2:23" s="29" customFormat="1" x14ac:dyDescent="0.25">
      <c r="B401" s="56"/>
      <c r="C401" s="56"/>
      <c r="D401" s="56"/>
      <c r="E401" s="56"/>
      <c r="F401" s="56"/>
      <c r="G401" s="56"/>
      <c r="H401" s="56"/>
      <c r="I401" s="56"/>
      <c r="J401" s="56"/>
      <c r="K401" s="111"/>
      <c r="L401" s="111"/>
      <c r="M401" s="111"/>
      <c r="N401" s="111"/>
      <c r="O401" s="111"/>
      <c r="P401" s="56"/>
      <c r="Q401" s="56"/>
      <c r="R401" s="56"/>
      <c r="S401" s="56"/>
      <c r="T401" s="56"/>
      <c r="U401" s="56"/>
      <c r="V401" s="56"/>
      <c r="W401" s="56"/>
    </row>
    <row r="402" spans="2:23" s="29" customFormat="1" x14ac:dyDescent="0.25">
      <c r="B402" s="56"/>
      <c r="C402" s="56"/>
      <c r="D402" s="56"/>
      <c r="E402" s="56"/>
      <c r="F402" s="56"/>
      <c r="G402" s="56"/>
      <c r="H402" s="56"/>
      <c r="I402" s="56"/>
      <c r="J402" s="56"/>
      <c r="K402" s="111"/>
      <c r="L402" s="111"/>
      <c r="M402" s="111"/>
      <c r="N402" s="111"/>
      <c r="O402" s="111"/>
      <c r="P402" s="56"/>
      <c r="Q402" s="56"/>
      <c r="R402" s="56"/>
      <c r="S402" s="56"/>
      <c r="T402" s="56"/>
      <c r="U402" s="56"/>
      <c r="V402" s="56"/>
      <c r="W402" s="56"/>
    </row>
    <row r="403" spans="2:23" s="29" customFormat="1" x14ac:dyDescent="0.25">
      <c r="B403" s="56"/>
      <c r="C403" s="56"/>
      <c r="D403" s="56"/>
      <c r="E403" s="56"/>
      <c r="F403" s="56"/>
      <c r="G403" s="56"/>
      <c r="H403" s="56"/>
      <c r="I403" s="56"/>
      <c r="J403" s="56"/>
      <c r="K403" s="111"/>
      <c r="L403" s="111"/>
      <c r="M403" s="111"/>
      <c r="N403" s="111"/>
      <c r="O403" s="111"/>
      <c r="P403" s="56"/>
      <c r="Q403" s="56"/>
      <c r="R403" s="56"/>
      <c r="S403" s="56"/>
      <c r="T403" s="56"/>
      <c r="U403" s="56"/>
      <c r="V403" s="56"/>
      <c r="W403" s="56"/>
    </row>
    <row r="404" spans="2:23" s="29" customFormat="1" x14ac:dyDescent="0.25">
      <c r="B404" s="56"/>
      <c r="C404" s="56"/>
      <c r="D404" s="56"/>
      <c r="E404" s="56"/>
      <c r="F404" s="56"/>
      <c r="G404" s="56"/>
      <c r="H404" s="56"/>
      <c r="I404" s="56"/>
      <c r="J404" s="56"/>
      <c r="K404" s="111"/>
      <c r="L404" s="111"/>
      <c r="M404" s="111"/>
      <c r="N404" s="111"/>
      <c r="O404" s="111"/>
      <c r="P404" s="56"/>
      <c r="Q404" s="56"/>
      <c r="R404" s="56"/>
      <c r="S404" s="56"/>
      <c r="T404" s="56"/>
      <c r="U404" s="56"/>
      <c r="V404" s="56"/>
      <c r="W404" s="56"/>
    </row>
    <row r="405" spans="2:23" s="29" customFormat="1" x14ac:dyDescent="0.25">
      <c r="B405" s="56"/>
      <c r="C405" s="56"/>
      <c r="D405" s="56"/>
      <c r="E405" s="56"/>
      <c r="F405" s="56"/>
      <c r="G405" s="56"/>
      <c r="H405" s="56"/>
      <c r="I405" s="56"/>
      <c r="J405" s="56"/>
      <c r="K405" s="111"/>
      <c r="L405" s="111"/>
      <c r="M405" s="111"/>
      <c r="N405" s="111"/>
      <c r="O405" s="111"/>
      <c r="P405" s="56"/>
      <c r="Q405" s="56"/>
      <c r="R405" s="56"/>
      <c r="S405" s="56"/>
      <c r="T405" s="56"/>
      <c r="U405" s="56"/>
      <c r="V405" s="56"/>
      <c r="W405" s="56"/>
    </row>
    <row r="406" spans="2:23" s="29" customFormat="1" x14ac:dyDescent="0.25">
      <c r="B406" s="56"/>
      <c r="C406" s="56"/>
      <c r="D406" s="56"/>
      <c r="E406" s="56"/>
      <c r="F406" s="56"/>
      <c r="G406" s="56"/>
      <c r="H406" s="56"/>
      <c r="I406" s="56"/>
      <c r="J406" s="56"/>
      <c r="K406" s="111"/>
      <c r="L406" s="111"/>
      <c r="M406" s="111"/>
      <c r="N406" s="111"/>
      <c r="O406" s="111"/>
      <c r="P406" s="56"/>
      <c r="Q406" s="56"/>
      <c r="R406" s="56"/>
      <c r="S406" s="56"/>
      <c r="T406" s="56"/>
      <c r="U406" s="56"/>
      <c r="V406" s="56"/>
      <c r="W406" s="56"/>
    </row>
    <row r="407" spans="2:23" s="29" customFormat="1" x14ac:dyDescent="0.25">
      <c r="B407" s="56"/>
      <c r="C407" s="56"/>
      <c r="D407" s="56"/>
      <c r="E407" s="56"/>
      <c r="F407" s="56"/>
      <c r="G407" s="56"/>
      <c r="H407" s="56"/>
      <c r="I407" s="56"/>
      <c r="J407" s="56"/>
      <c r="K407" s="111"/>
      <c r="L407" s="111"/>
      <c r="M407" s="111"/>
      <c r="N407" s="111"/>
      <c r="O407" s="111"/>
      <c r="P407" s="56"/>
      <c r="Q407" s="56"/>
      <c r="R407" s="56"/>
      <c r="S407" s="56"/>
      <c r="T407" s="56"/>
      <c r="U407" s="56"/>
      <c r="V407" s="56"/>
      <c r="W407" s="56"/>
    </row>
    <row r="408" spans="2:23" s="29" customFormat="1" x14ac:dyDescent="0.25">
      <c r="B408" s="56"/>
      <c r="C408" s="56"/>
      <c r="D408" s="56"/>
      <c r="E408" s="56"/>
      <c r="F408" s="56"/>
      <c r="G408" s="56"/>
      <c r="H408" s="56"/>
      <c r="I408" s="56"/>
      <c r="J408" s="56"/>
      <c r="K408" s="111"/>
      <c r="L408" s="111"/>
      <c r="M408" s="111"/>
      <c r="N408" s="111"/>
      <c r="O408" s="111"/>
      <c r="P408" s="56"/>
      <c r="Q408" s="56"/>
      <c r="R408" s="56"/>
      <c r="S408" s="56"/>
      <c r="T408" s="56"/>
      <c r="U408" s="56"/>
      <c r="V408" s="56"/>
      <c r="W408" s="56"/>
    </row>
    <row r="409" spans="2:23" s="29" customFormat="1" x14ac:dyDescent="0.25">
      <c r="B409" s="56"/>
      <c r="C409" s="56"/>
      <c r="D409" s="56"/>
      <c r="E409" s="56"/>
      <c r="F409" s="56"/>
      <c r="G409" s="56"/>
      <c r="H409" s="56"/>
      <c r="I409" s="56"/>
      <c r="J409" s="56"/>
      <c r="K409" s="111"/>
      <c r="L409" s="111"/>
      <c r="M409" s="111"/>
      <c r="N409" s="111"/>
      <c r="O409" s="111"/>
      <c r="P409" s="56"/>
      <c r="Q409" s="56"/>
      <c r="R409" s="56"/>
      <c r="S409" s="56"/>
      <c r="T409" s="56"/>
      <c r="U409" s="56"/>
      <c r="V409" s="56"/>
      <c r="W409" s="56"/>
    </row>
    <row r="410" spans="2:23" s="29" customFormat="1" x14ac:dyDescent="0.25">
      <c r="B410" s="56"/>
      <c r="C410" s="56"/>
      <c r="D410" s="56"/>
      <c r="E410" s="56"/>
      <c r="F410" s="56"/>
      <c r="G410" s="56"/>
      <c r="H410" s="56"/>
      <c r="I410" s="56"/>
      <c r="J410" s="56"/>
      <c r="K410" s="111"/>
      <c r="L410" s="111"/>
      <c r="M410" s="111"/>
      <c r="N410" s="111"/>
      <c r="O410" s="111"/>
      <c r="P410" s="56"/>
      <c r="Q410" s="56"/>
      <c r="R410" s="56"/>
      <c r="S410" s="56"/>
      <c r="T410" s="56"/>
      <c r="U410" s="56"/>
      <c r="V410" s="56"/>
      <c r="W410" s="56"/>
    </row>
    <row r="411" spans="2:23" s="29" customFormat="1" x14ac:dyDescent="0.25">
      <c r="B411" s="56"/>
      <c r="C411" s="56"/>
      <c r="D411" s="56"/>
      <c r="E411" s="56"/>
      <c r="F411" s="56"/>
      <c r="G411" s="56"/>
      <c r="H411" s="56"/>
      <c r="I411" s="56"/>
      <c r="J411" s="56"/>
      <c r="K411" s="111"/>
      <c r="L411" s="111"/>
      <c r="M411" s="111"/>
      <c r="N411" s="111"/>
      <c r="O411" s="111"/>
      <c r="P411" s="56"/>
      <c r="Q411" s="56"/>
      <c r="R411" s="56"/>
      <c r="S411" s="56"/>
      <c r="T411" s="56"/>
      <c r="U411" s="56"/>
      <c r="V411" s="56"/>
      <c r="W411" s="56"/>
    </row>
    <row r="412" spans="2:23" s="29" customFormat="1" x14ac:dyDescent="0.25">
      <c r="B412" s="56"/>
      <c r="C412" s="56"/>
      <c r="D412" s="56"/>
      <c r="E412" s="56"/>
      <c r="F412" s="56"/>
      <c r="G412" s="56"/>
      <c r="H412" s="56"/>
      <c r="I412" s="56"/>
      <c r="J412" s="56"/>
      <c r="K412" s="111"/>
      <c r="L412" s="111"/>
      <c r="M412" s="111"/>
      <c r="N412" s="111"/>
      <c r="O412" s="111"/>
      <c r="P412" s="56"/>
      <c r="Q412" s="56"/>
      <c r="R412" s="56"/>
      <c r="S412" s="56"/>
      <c r="T412" s="56"/>
      <c r="U412" s="56"/>
      <c r="V412" s="56"/>
      <c r="W412" s="56"/>
    </row>
    <row r="413" spans="2:23" s="29" customFormat="1" x14ac:dyDescent="0.25">
      <c r="B413" s="56"/>
      <c r="C413" s="56"/>
      <c r="D413" s="56"/>
      <c r="E413" s="56"/>
      <c r="F413" s="56"/>
      <c r="G413" s="56"/>
      <c r="H413" s="56"/>
      <c r="I413" s="56"/>
      <c r="J413" s="56"/>
      <c r="K413" s="111"/>
      <c r="L413" s="111"/>
      <c r="M413" s="111"/>
      <c r="N413" s="111"/>
      <c r="O413" s="111"/>
      <c r="P413" s="56"/>
      <c r="Q413" s="56"/>
      <c r="R413" s="56"/>
      <c r="S413" s="56"/>
      <c r="T413" s="56"/>
      <c r="U413" s="56"/>
      <c r="V413" s="56"/>
      <c r="W413" s="56"/>
    </row>
    <row r="414" spans="2:23" s="29" customFormat="1" x14ac:dyDescent="0.25">
      <c r="B414" s="56"/>
      <c r="C414" s="56"/>
      <c r="D414" s="56"/>
      <c r="E414" s="56"/>
      <c r="F414" s="56"/>
      <c r="G414" s="56"/>
      <c r="H414" s="56"/>
      <c r="I414" s="56"/>
      <c r="J414" s="56"/>
      <c r="K414" s="111"/>
      <c r="L414" s="111"/>
      <c r="M414" s="111"/>
      <c r="N414" s="111"/>
      <c r="O414" s="111"/>
      <c r="P414" s="56"/>
      <c r="Q414" s="56"/>
      <c r="R414" s="56"/>
      <c r="S414" s="56"/>
      <c r="T414" s="56"/>
      <c r="U414" s="56"/>
      <c r="V414" s="56"/>
      <c r="W414" s="56"/>
    </row>
    <row r="415" spans="2:23" s="29" customFormat="1" x14ac:dyDescent="0.25">
      <c r="B415" s="56"/>
      <c r="C415" s="56"/>
      <c r="D415" s="56"/>
      <c r="E415" s="56"/>
      <c r="F415" s="56"/>
      <c r="G415" s="56"/>
      <c r="H415" s="56"/>
      <c r="I415" s="56"/>
      <c r="J415" s="56"/>
      <c r="K415" s="111"/>
      <c r="L415" s="111"/>
      <c r="M415" s="111"/>
      <c r="N415" s="111"/>
      <c r="O415" s="111"/>
      <c r="P415" s="56"/>
      <c r="Q415" s="56"/>
      <c r="R415" s="56"/>
      <c r="S415" s="56"/>
      <c r="T415" s="56"/>
      <c r="U415" s="56"/>
      <c r="V415" s="56"/>
      <c r="W415" s="56"/>
    </row>
    <row r="416" spans="2:23" s="29" customFormat="1" x14ac:dyDescent="0.25">
      <c r="B416" s="56"/>
      <c r="C416" s="56"/>
      <c r="D416" s="56"/>
      <c r="E416" s="56"/>
      <c r="F416" s="56"/>
      <c r="G416" s="56"/>
      <c r="H416" s="56"/>
      <c r="I416" s="56"/>
      <c r="J416" s="56"/>
      <c r="K416" s="111"/>
      <c r="L416" s="111"/>
      <c r="M416" s="111"/>
      <c r="N416" s="111"/>
      <c r="O416" s="111"/>
      <c r="P416" s="56"/>
      <c r="Q416" s="56"/>
      <c r="R416" s="56"/>
      <c r="S416" s="56"/>
      <c r="T416" s="56"/>
      <c r="U416" s="56"/>
      <c r="V416" s="56"/>
      <c r="W416" s="56"/>
    </row>
    <row r="417" spans="2:23" s="29" customFormat="1" x14ac:dyDescent="0.25">
      <c r="B417" s="56"/>
      <c r="C417" s="56"/>
      <c r="D417" s="56"/>
      <c r="E417" s="56"/>
      <c r="F417" s="56"/>
      <c r="G417" s="56"/>
      <c r="H417" s="56"/>
      <c r="I417" s="56"/>
      <c r="J417" s="56"/>
      <c r="K417" s="111"/>
      <c r="L417" s="111"/>
      <c r="M417" s="111"/>
      <c r="N417" s="111"/>
      <c r="O417" s="111"/>
      <c r="P417" s="56"/>
      <c r="Q417" s="56"/>
      <c r="R417" s="56"/>
      <c r="S417" s="56"/>
      <c r="T417" s="56"/>
      <c r="U417" s="56"/>
      <c r="V417" s="56"/>
      <c r="W417" s="56"/>
    </row>
    <row r="418" spans="2:23" s="29" customFormat="1" x14ac:dyDescent="0.25">
      <c r="B418" s="56"/>
      <c r="C418" s="56"/>
      <c r="D418" s="56"/>
      <c r="E418" s="56"/>
      <c r="F418" s="56"/>
      <c r="G418" s="56"/>
      <c r="H418" s="56"/>
      <c r="I418" s="56"/>
      <c r="J418" s="56"/>
      <c r="K418" s="111"/>
      <c r="L418" s="111"/>
      <c r="M418" s="111"/>
      <c r="N418" s="111"/>
      <c r="O418" s="111"/>
      <c r="P418" s="56"/>
      <c r="Q418" s="56"/>
      <c r="R418" s="56"/>
      <c r="S418" s="56"/>
      <c r="T418" s="56"/>
      <c r="U418" s="56"/>
      <c r="V418" s="56"/>
      <c r="W418" s="56"/>
    </row>
  </sheetData>
  <mergeCells count="16">
    <mergeCell ref="B2:B5"/>
    <mergeCell ref="C2:C5"/>
    <mergeCell ref="D2:D5"/>
    <mergeCell ref="E2:E5"/>
    <mergeCell ref="G2:S3"/>
    <mergeCell ref="M4:M5"/>
    <mergeCell ref="N4:N5"/>
    <mergeCell ref="O4:O5"/>
    <mergeCell ref="P4:P5"/>
    <mergeCell ref="Q4:Q5"/>
    <mergeCell ref="R4:R5"/>
    <mergeCell ref="S4:S5"/>
    <mergeCell ref="G4:I4"/>
    <mergeCell ref="J4:J5"/>
    <mergeCell ref="K4:K5"/>
    <mergeCell ref="L4:L5"/>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T416"/>
  <sheetViews>
    <sheetView zoomScale="70" zoomScaleNormal="70" workbookViewId="0">
      <pane ySplit="6" topLeftCell="A149" activePane="bottomLeft" state="frozen"/>
      <selection activeCell="B3" sqref="B3:J27"/>
      <selection pane="bottomLeft" activeCell="J301" sqref="J301"/>
    </sheetView>
  </sheetViews>
  <sheetFormatPr defaultRowHeight="15.75" x14ac:dyDescent="0.25"/>
  <cols>
    <col min="2" max="2" width="13.25" style="89" customWidth="1"/>
    <col min="3" max="3" width="24.125" style="89" customWidth="1"/>
    <col min="4" max="4" width="15.5" style="89" customWidth="1"/>
    <col min="5" max="5" width="26.875" style="89" customWidth="1"/>
    <col min="6" max="6" width="5.375" style="89" customWidth="1"/>
    <col min="7" max="7" width="15.875" style="89" customWidth="1"/>
    <col min="8" max="8" width="11.375" style="89" customWidth="1"/>
    <col min="9" max="9" width="12" style="89" customWidth="1"/>
    <col min="10" max="10" width="15.875" style="89" customWidth="1"/>
    <col min="11" max="11" width="9.5" style="89" customWidth="1"/>
    <col min="12" max="12" width="12" style="89" customWidth="1"/>
    <col min="13" max="13" width="18.25" style="89" customWidth="1"/>
    <col min="14" max="14" width="5.625" style="89" customWidth="1"/>
    <col min="15" max="15" width="9" style="89"/>
  </cols>
  <sheetData>
    <row r="1" spans="1:18" ht="16.5" thickBot="1" x14ac:dyDescent="0.3"/>
    <row r="2" spans="1:18" ht="16.5" thickTop="1" x14ac:dyDescent="0.25">
      <c r="B2" s="244" t="s">
        <v>476</v>
      </c>
      <c r="C2" s="247" t="s">
        <v>477</v>
      </c>
      <c r="D2" s="247" t="s">
        <v>478</v>
      </c>
      <c r="E2" s="250" t="s">
        <v>1631</v>
      </c>
      <c r="F2" s="64"/>
      <c r="G2" s="260" t="s">
        <v>941</v>
      </c>
      <c r="H2" s="261"/>
      <c r="I2" s="261"/>
      <c r="J2" s="261"/>
      <c r="K2" s="261"/>
      <c r="L2" s="261"/>
      <c r="M2" s="262"/>
    </row>
    <row r="3" spans="1:18" x14ac:dyDescent="0.25">
      <c r="B3" s="245"/>
      <c r="C3" s="248"/>
      <c r="D3" s="248"/>
      <c r="E3" s="251"/>
      <c r="F3" s="64"/>
      <c r="G3" s="276"/>
      <c r="H3" s="277"/>
      <c r="I3" s="277"/>
      <c r="J3" s="277"/>
      <c r="K3" s="277"/>
      <c r="L3" s="277"/>
      <c r="M3" s="278"/>
    </row>
    <row r="4" spans="1:18" x14ac:dyDescent="0.25">
      <c r="B4" s="245"/>
      <c r="C4" s="248"/>
      <c r="D4" s="248"/>
      <c r="E4" s="251"/>
      <c r="F4" s="64"/>
      <c r="G4" s="279" t="s">
        <v>485</v>
      </c>
      <c r="H4" s="258" t="s">
        <v>945</v>
      </c>
      <c r="I4" s="271" t="s">
        <v>486</v>
      </c>
      <c r="J4" s="266" t="s">
        <v>8</v>
      </c>
      <c r="K4" s="266" t="s">
        <v>24</v>
      </c>
      <c r="L4" s="266" t="s">
        <v>505</v>
      </c>
      <c r="M4" s="256" t="s">
        <v>6</v>
      </c>
    </row>
    <row r="5" spans="1:18" ht="16.5" thickBot="1" x14ac:dyDescent="0.3">
      <c r="B5" s="246"/>
      <c r="C5" s="249"/>
      <c r="D5" s="249"/>
      <c r="E5" s="252"/>
      <c r="F5" s="64"/>
      <c r="G5" s="280"/>
      <c r="H5" s="259"/>
      <c r="I5" s="273"/>
      <c r="J5" s="267"/>
      <c r="K5" s="267"/>
      <c r="L5" s="267"/>
      <c r="M5" s="257"/>
    </row>
    <row r="6" spans="1:18" ht="16.5" thickTop="1" x14ac:dyDescent="0.25"/>
    <row r="7" spans="1:18" s="29" customFormat="1" x14ac:dyDescent="0.25">
      <c r="B7" s="56"/>
      <c r="C7" s="56"/>
      <c r="D7" s="56"/>
      <c r="E7" s="56"/>
      <c r="F7" s="56"/>
      <c r="G7" s="56"/>
      <c r="H7" s="56"/>
      <c r="I7" s="56"/>
      <c r="J7" s="56"/>
      <c r="K7" s="56"/>
      <c r="L7" s="56"/>
      <c r="M7" s="56"/>
      <c r="N7" s="56"/>
      <c r="O7" s="56"/>
    </row>
    <row r="8" spans="1:18" s="29" customFormat="1" x14ac:dyDescent="0.25">
      <c r="B8" s="56"/>
      <c r="C8" s="56"/>
      <c r="D8" s="56"/>
      <c r="E8" s="56"/>
      <c r="F8" s="56"/>
      <c r="G8" s="56"/>
      <c r="H8" s="56"/>
      <c r="I8" s="56"/>
      <c r="J8" s="56"/>
      <c r="K8" s="56"/>
      <c r="L8" s="56"/>
      <c r="M8" s="56"/>
      <c r="N8" s="56"/>
      <c r="O8" s="56"/>
    </row>
    <row r="9" spans="1:18" s="29" customFormat="1" x14ac:dyDescent="0.25">
      <c r="A9" s="32"/>
      <c r="B9" s="86" t="s">
        <v>498</v>
      </c>
      <c r="C9" s="56" t="s">
        <v>1641</v>
      </c>
      <c r="D9" s="56" t="s">
        <v>41</v>
      </c>
      <c r="E9" s="86" t="s">
        <v>42</v>
      </c>
      <c r="F9" s="86"/>
      <c r="G9" s="56">
        <v>9.4</v>
      </c>
      <c r="H9" s="78">
        <v>2017</v>
      </c>
      <c r="I9" s="111" t="s">
        <v>1448</v>
      </c>
      <c r="J9" s="111" t="s">
        <v>1358</v>
      </c>
      <c r="K9" s="111"/>
      <c r="L9" s="142" t="s">
        <v>1567</v>
      </c>
      <c r="M9" s="111" t="s">
        <v>1449</v>
      </c>
      <c r="N9" s="56"/>
      <c r="O9" s="56"/>
    </row>
    <row r="10" spans="1:18" s="29" customFormat="1" x14ac:dyDescent="0.25">
      <c r="A10" s="32"/>
      <c r="B10" s="56" t="s">
        <v>498</v>
      </c>
      <c r="C10" s="56" t="s">
        <v>1641</v>
      </c>
      <c r="D10" s="56" t="s">
        <v>47</v>
      </c>
      <c r="E10" s="56" t="s">
        <v>48</v>
      </c>
      <c r="F10" s="56"/>
      <c r="G10" s="56">
        <v>5.0999999999999996</v>
      </c>
      <c r="H10" s="56">
        <v>2015</v>
      </c>
      <c r="I10" s="56" t="s">
        <v>633</v>
      </c>
      <c r="J10" s="56" t="s">
        <v>595</v>
      </c>
      <c r="K10" s="56" t="s">
        <v>508</v>
      </c>
      <c r="L10" s="56" t="s">
        <v>990</v>
      </c>
      <c r="M10" s="56" t="s">
        <v>991</v>
      </c>
      <c r="N10" s="56" t="s">
        <v>508</v>
      </c>
      <c r="O10" s="56"/>
    </row>
    <row r="11" spans="1:18" s="29" customFormat="1" x14ac:dyDescent="0.25">
      <c r="A11" s="32"/>
      <c r="B11" s="86" t="s">
        <v>498</v>
      </c>
      <c r="C11" s="56" t="s">
        <v>1641</v>
      </c>
      <c r="D11" s="56" t="s">
        <v>52</v>
      </c>
      <c r="E11" s="86" t="s">
        <v>53</v>
      </c>
      <c r="F11" s="86"/>
      <c r="G11" s="56">
        <v>3</v>
      </c>
      <c r="H11" s="78">
        <v>2017</v>
      </c>
      <c r="I11" s="111" t="s">
        <v>1448</v>
      </c>
      <c r="J11" s="111" t="s">
        <v>1358</v>
      </c>
      <c r="K11" s="111"/>
      <c r="L11" s="142" t="s">
        <v>1567</v>
      </c>
      <c r="M11" s="111" t="s">
        <v>1365</v>
      </c>
      <c r="N11" s="56"/>
      <c r="O11" s="56"/>
    </row>
    <row r="12" spans="1:18" s="29" customFormat="1" x14ac:dyDescent="0.25">
      <c r="A12" s="32"/>
      <c r="B12" s="56" t="s">
        <v>498</v>
      </c>
      <c r="C12" s="56" t="s">
        <v>1641</v>
      </c>
      <c r="D12" s="56" t="s">
        <v>33</v>
      </c>
      <c r="E12" s="56" t="s">
        <v>34</v>
      </c>
      <c r="F12" s="56"/>
      <c r="G12" s="102">
        <v>5.4</v>
      </c>
      <c r="H12" s="56">
        <v>2016</v>
      </c>
      <c r="I12" s="56" t="s">
        <v>633</v>
      </c>
      <c r="J12" s="56" t="s">
        <v>595</v>
      </c>
      <c r="K12" s="56" t="s">
        <v>508</v>
      </c>
      <c r="L12" s="56" t="s">
        <v>1293</v>
      </c>
      <c r="M12" s="152" t="s">
        <v>1296</v>
      </c>
      <c r="N12" s="56" t="s">
        <v>508</v>
      </c>
      <c r="O12" s="56"/>
    </row>
    <row r="13" spans="1:18" s="29" customFormat="1" x14ac:dyDescent="0.25">
      <c r="B13" s="86" t="s">
        <v>498</v>
      </c>
      <c r="C13" s="56" t="s">
        <v>1641</v>
      </c>
      <c r="D13" s="56" t="s">
        <v>35</v>
      </c>
      <c r="E13" s="86" t="s">
        <v>36</v>
      </c>
      <c r="F13" s="86"/>
      <c r="G13" s="102">
        <v>1.4</v>
      </c>
      <c r="H13" s="56">
        <v>2017</v>
      </c>
      <c r="I13" s="111" t="s">
        <v>19</v>
      </c>
      <c r="J13" s="111" t="s">
        <v>595</v>
      </c>
      <c r="K13" s="111" t="s">
        <v>508</v>
      </c>
      <c r="L13" s="111" t="s">
        <v>1387</v>
      </c>
      <c r="M13" s="111" t="s">
        <v>1390</v>
      </c>
      <c r="N13" s="111" t="s">
        <v>508</v>
      </c>
      <c r="O13" s="56"/>
    </row>
    <row r="14" spans="1:18" s="29" customFormat="1" x14ac:dyDescent="0.25">
      <c r="B14" s="86" t="s">
        <v>498</v>
      </c>
      <c r="C14" s="56" t="s">
        <v>1641</v>
      </c>
      <c r="D14" s="56" t="s">
        <v>37</v>
      </c>
      <c r="E14" s="86" t="s">
        <v>38</v>
      </c>
      <c r="F14" s="86"/>
      <c r="G14" s="56">
        <v>1</v>
      </c>
      <c r="H14" s="56">
        <v>2017</v>
      </c>
      <c r="I14" s="111" t="s">
        <v>1062</v>
      </c>
      <c r="J14" s="111" t="s">
        <v>1392</v>
      </c>
      <c r="K14" s="111" t="s">
        <v>508</v>
      </c>
      <c r="L14" s="113" t="s">
        <v>1151</v>
      </c>
      <c r="M14" s="111" t="s">
        <v>1393</v>
      </c>
      <c r="N14" s="111" t="s">
        <v>508</v>
      </c>
      <c r="O14" s="56"/>
      <c r="Q14" s="29" t="s">
        <v>508</v>
      </c>
      <c r="R14" s="29" t="s">
        <v>508</v>
      </c>
    </row>
    <row r="15" spans="1:18" s="29" customFormat="1" x14ac:dyDescent="0.25">
      <c r="A15" s="40"/>
      <c r="B15" s="86" t="s">
        <v>498</v>
      </c>
      <c r="C15" s="56" t="s">
        <v>1641</v>
      </c>
      <c r="D15" s="56" t="s">
        <v>31</v>
      </c>
      <c r="E15" s="86" t="s">
        <v>32</v>
      </c>
      <c r="F15" s="86"/>
      <c r="G15" s="56">
        <v>5.39</v>
      </c>
      <c r="H15" s="56">
        <v>2014</v>
      </c>
      <c r="I15" s="111" t="s">
        <v>15</v>
      </c>
      <c r="J15" s="111" t="s">
        <v>1455</v>
      </c>
      <c r="K15" s="111"/>
      <c r="L15" s="56" t="s">
        <v>1456</v>
      </c>
      <c r="M15" s="111" t="s">
        <v>1457</v>
      </c>
      <c r="N15" s="56"/>
      <c r="O15" s="56"/>
    </row>
    <row r="16" spans="1:18" s="29" customFormat="1" x14ac:dyDescent="0.25">
      <c r="A16" s="32"/>
      <c r="B16" s="86" t="s">
        <v>498</v>
      </c>
      <c r="C16" s="56" t="s">
        <v>1641</v>
      </c>
      <c r="D16" s="56" t="s">
        <v>51</v>
      </c>
      <c r="E16" s="86" t="s">
        <v>494</v>
      </c>
      <c r="F16" s="86"/>
      <c r="G16" s="56">
        <v>31.9</v>
      </c>
      <c r="H16" s="56">
        <v>2014</v>
      </c>
      <c r="I16" s="111" t="s">
        <v>480</v>
      </c>
      <c r="J16" s="111" t="s">
        <v>7</v>
      </c>
      <c r="K16" s="111" t="s">
        <v>508</v>
      </c>
      <c r="L16" s="111"/>
      <c r="M16" s="111" t="s">
        <v>674</v>
      </c>
      <c r="N16" s="111" t="s">
        <v>508</v>
      </c>
      <c r="O16" s="56"/>
    </row>
    <row r="17" spans="1:15" s="29" customFormat="1" x14ac:dyDescent="0.25">
      <c r="A17" s="32"/>
      <c r="B17" s="86"/>
      <c r="C17" s="86"/>
      <c r="D17" s="56"/>
      <c r="E17" s="86"/>
      <c r="F17" s="86"/>
      <c r="G17" s="56"/>
      <c r="H17" s="56"/>
      <c r="I17" s="111"/>
      <c r="J17" s="111"/>
      <c r="K17" s="111"/>
      <c r="L17" s="111"/>
      <c r="M17" s="111"/>
      <c r="N17" s="111"/>
      <c r="O17" s="56"/>
    </row>
    <row r="18" spans="1:15" s="29" customFormat="1" x14ac:dyDescent="0.25">
      <c r="A18" s="32"/>
      <c r="B18" s="86"/>
      <c r="C18" s="86"/>
      <c r="D18" s="56"/>
      <c r="E18" s="86"/>
      <c r="F18" s="86"/>
      <c r="G18" s="56"/>
      <c r="H18" s="56"/>
      <c r="I18" s="111"/>
      <c r="J18" s="111"/>
      <c r="K18" s="111"/>
      <c r="L18" s="111"/>
      <c r="M18" s="111"/>
      <c r="N18" s="111"/>
      <c r="O18" s="56"/>
    </row>
    <row r="19" spans="1:15" s="29" customFormat="1" x14ac:dyDescent="0.25">
      <c r="B19" s="86" t="s">
        <v>498</v>
      </c>
      <c r="C19" s="56" t="s">
        <v>1641</v>
      </c>
      <c r="D19" s="56" t="s">
        <v>29</v>
      </c>
      <c r="E19" s="86" t="s">
        <v>30</v>
      </c>
      <c r="F19" s="86"/>
      <c r="G19" s="69" t="s">
        <v>1645</v>
      </c>
      <c r="H19" s="56" t="s">
        <v>491</v>
      </c>
      <c r="I19" s="111"/>
      <c r="J19" s="111"/>
      <c r="K19" s="111"/>
      <c r="L19" s="111"/>
      <c r="M19" s="111"/>
      <c r="N19" s="56"/>
      <c r="O19" s="56"/>
    </row>
    <row r="20" spans="1:15" s="29" customFormat="1" x14ac:dyDescent="0.25">
      <c r="B20" s="86" t="s">
        <v>498</v>
      </c>
      <c r="C20" s="56" t="s">
        <v>1641</v>
      </c>
      <c r="D20" s="56" t="s">
        <v>43</v>
      </c>
      <c r="E20" s="86" t="s">
        <v>44</v>
      </c>
      <c r="F20" s="86"/>
      <c r="G20" s="69" t="s">
        <v>1645</v>
      </c>
      <c r="H20" s="56" t="s">
        <v>491</v>
      </c>
      <c r="I20" s="111"/>
      <c r="J20" s="111"/>
      <c r="K20" s="111"/>
      <c r="L20" s="111"/>
      <c r="M20" s="111"/>
      <c r="N20" s="56"/>
      <c r="O20" s="56"/>
    </row>
    <row r="21" spans="1:15" s="29" customFormat="1" x14ac:dyDescent="0.25">
      <c r="B21" s="86" t="s">
        <v>498</v>
      </c>
      <c r="C21" s="56" t="s">
        <v>1641</v>
      </c>
      <c r="D21" s="56" t="s">
        <v>45</v>
      </c>
      <c r="E21" s="86" t="s">
        <v>46</v>
      </c>
      <c r="F21" s="86"/>
      <c r="G21" s="69" t="s">
        <v>1645</v>
      </c>
      <c r="H21" s="56" t="s">
        <v>491</v>
      </c>
      <c r="I21" s="111"/>
      <c r="J21" s="111"/>
      <c r="K21" s="111"/>
      <c r="L21" s="111"/>
      <c r="M21" s="111"/>
      <c r="N21" s="56"/>
      <c r="O21" s="56"/>
    </row>
    <row r="22" spans="1:15" s="29" customFormat="1" x14ac:dyDescent="0.25">
      <c r="B22" s="86" t="s">
        <v>498</v>
      </c>
      <c r="C22" s="56" t="s">
        <v>1641</v>
      </c>
      <c r="D22" s="56" t="s">
        <v>1612</v>
      </c>
      <c r="E22" s="56" t="s">
        <v>493</v>
      </c>
      <c r="F22" s="86"/>
      <c r="G22" s="69" t="s">
        <v>1645</v>
      </c>
      <c r="H22" s="56"/>
      <c r="I22" s="111"/>
      <c r="J22" s="111"/>
      <c r="K22" s="111"/>
      <c r="L22" s="111"/>
      <c r="M22" s="111"/>
      <c r="N22" s="56"/>
      <c r="O22" s="56"/>
    </row>
    <row r="23" spans="1:15" s="29" customFormat="1" x14ac:dyDescent="0.25">
      <c r="B23" s="86" t="s">
        <v>498</v>
      </c>
      <c r="C23" s="56" t="s">
        <v>1641</v>
      </c>
      <c r="D23" s="56" t="s">
        <v>49</v>
      </c>
      <c r="E23" s="86" t="s">
        <v>50</v>
      </c>
      <c r="F23" s="86"/>
      <c r="G23" s="69" t="s">
        <v>1645</v>
      </c>
      <c r="H23" s="56" t="s">
        <v>491</v>
      </c>
      <c r="I23" s="111"/>
      <c r="J23" s="111"/>
      <c r="K23" s="111"/>
      <c r="L23" s="111"/>
      <c r="M23" s="111"/>
      <c r="N23" s="56"/>
      <c r="O23" s="56"/>
    </row>
    <row r="24" spans="1:15" s="29" customFormat="1" x14ac:dyDescent="0.25">
      <c r="B24" s="86" t="s">
        <v>498</v>
      </c>
      <c r="C24" s="56" t="s">
        <v>1641</v>
      </c>
      <c r="D24" s="56" t="s">
        <v>39</v>
      </c>
      <c r="E24" s="86" t="s">
        <v>40</v>
      </c>
      <c r="F24" s="86"/>
      <c r="G24" s="69" t="s">
        <v>1645</v>
      </c>
      <c r="H24" s="56" t="s">
        <v>491</v>
      </c>
      <c r="I24" s="111"/>
      <c r="J24" s="111"/>
      <c r="K24" s="111"/>
      <c r="L24" s="111"/>
      <c r="M24" s="111"/>
      <c r="N24" s="56"/>
      <c r="O24" s="56"/>
    </row>
    <row r="25" spans="1:15" s="29" customFormat="1" x14ac:dyDescent="0.25">
      <c r="B25" s="86" t="s">
        <v>498</v>
      </c>
      <c r="C25" s="56" t="s">
        <v>1641</v>
      </c>
      <c r="D25" s="56" t="s">
        <v>949</v>
      </c>
      <c r="E25" s="86" t="s">
        <v>3</v>
      </c>
      <c r="F25" s="86"/>
      <c r="G25" s="69" t="s">
        <v>1645</v>
      </c>
      <c r="H25" s="56"/>
      <c r="I25" s="111"/>
      <c r="J25" s="111"/>
      <c r="K25" s="111"/>
      <c r="L25" s="111"/>
      <c r="M25" s="111"/>
      <c r="N25" s="56"/>
      <c r="O25" s="56"/>
    </row>
    <row r="26" spans="1:15" s="29" customFormat="1" x14ac:dyDescent="0.25">
      <c r="A26" s="32"/>
      <c r="B26" s="86"/>
      <c r="C26" s="86"/>
      <c r="D26" s="56"/>
      <c r="E26" s="86"/>
      <c r="F26" s="86"/>
      <c r="G26" s="56"/>
      <c r="H26" s="56"/>
      <c r="I26" s="111"/>
      <c r="J26" s="111"/>
      <c r="K26" s="111"/>
      <c r="L26" s="111"/>
      <c r="M26" s="111"/>
      <c r="N26" s="111"/>
      <c r="O26" s="56"/>
    </row>
    <row r="27" spans="1:15" s="29" customFormat="1" x14ac:dyDescent="0.25">
      <c r="B27" s="86"/>
      <c r="C27" s="86"/>
      <c r="D27" s="56"/>
      <c r="E27" s="86"/>
      <c r="F27" s="86"/>
      <c r="G27" s="56"/>
      <c r="H27" s="56"/>
      <c r="I27" s="111"/>
      <c r="J27" s="111"/>
      <c r="K27" s="111"/>
      <c r="L27" s="111"/>
      <c r="M27" s="111"/>
      <c r="N27" s="56"/>
      <c r="O27" s="56"/>
    </row>
    <row r="28" spans="1:15" s="29" customFormat="1" ht="16.5" thickBot="1" x14ac:dyDescent="0.3">
      <c r="B28" s="86"/>
      <c r="C28" s="86"/>
      <c r="D28" s="56"/>
      <c r="E28" s="86"/>
      <c r="F28" s="86"/>
      <c r="G28" s="56"/>
      <c r="H28" s="56"/>
      <c r="I28" s="111"/>
      <c r="J28" s="111"/>
      <c r="K28" s="111"/>
      <c r="L28" s="111"/>
      <c r="M28" s="111"/>
      <c r="N28" s="56"/>
      <c r="O28" s="56"/>
    </row>
    <row r="29" spans="1:15" s="29" customFormat="1" ht="16.5" thickTop="1" x14ac:dyDescent="0.25">
      <c r="B29" s="128"/>
      <c r="C29" s="128"/>
      <c r="D29" s="74"/>
      <c r="E29" s="128"/>
      <c r="F29" s="128"/>
      <c r="G29" s="74"/>
      <c r="H29" s="74"/>
      <c r="I29" s="153"/>
      <c r="J29" s="153"/>
      <c r="K29" s="153"/>
      <c r="L29" s="153"/>
      <c r="M29" s="153"/>
      <c r="N29" s="74"/>
      <c r="O29" s="56"/>
    </row>
    <row r="30" spans="1:15" s="29" customFormat="1" x14ac:dyDescent="0.25">
      <c r="A30" s="32"/>
      <c r="B30" s="86"/>
      <c r="C30" s="86"/>
      <c r="D30" s="56"/>
      <c r="E30" s="86"/>
      <c r="F30" s="86"/>
      <c r="G30" s="56"/>
      <c r="H30" s="56"/>
      <c r="I30" s="111"/>
      <c r="J30" s="111"/>
      <c r="K30" s="111"/>
      <c r="L30" s="111"/>
      <c r="M30" s="111"/>
      <c r="N30" s="111"/>
      <c r="O30" s="56"/>
    </row>
    <row r="31" spans="1:15" s="29" customFormat="1" x14ac:dyDescent="0.25">
      <c r="A31" s="40"/>
      <c r="B31" s="86" t="s">
        <v>498</v>
      </c>
      <c r="C31" s="86" t="s">
        <v>56</v>
      </c>
      <c r="D31" s="56" t="s">
        <v>57</v>
      </c>
      <c r="E31" s="86" t="s">
        <v>58</v>
      </c>
      <c r="F31" s="86"/>
      <c r="G31" s="56">
        <v>1.4</v>
      </c>
      <c r="H31" s="56">
        <v>2018</v>
      </c>
      <c r="I31" s="111" t="s">
        <v>528</v>
      </c>
      <c r="J31" s="56"/>
      <c r="K31" s="111"/>
      <c r="L31" s="111" t="s">
        <v>1470</v>
      </c>
      <c r="M31" s="111"/>
      <c r="N31" s="56"/>
      <c r="O31" s="56"/>
    </row>
    <row r="32" spans="1:15" s="29" customFormat="1" x14ac:dyDescent="0.25">
      <c r="B32" s="86" t="s">
        <v>498</v>
      </c>
      <c r="C32" s="86" t="s">
        <v>56</v>
      </c>
      <c r="D32" s="56" t="s">
        <v>59</v>
      </c>
      <c r="E32" s="86" t="s">
        <v>60</v>
      </c>
      <c r="F32" s="86"/>
      <c r="G32" s="102">
        <v>2.6</v>
      </c>
      <c r="H32" s="56">
        <v>2014</v>
      </c>
      <c r="I32" s="111" t="s">
        <v>480</v>
      </c>
      <c r="J32" s="111" t="s">
        <v>7</v>
      </c>
      <c r="K32" s="111" t="s">
        <v>508</v>
      </c>
      <c r="L32" s="111" t="s">
        <v>510</v>
      </c>
      <c r="M32" s="111" t="s">
        <v>508</v>
      </c>
      <c r="N32" s="56"/>
      <c r="O32" s="56"/>
    </row>
    <row r="33" spans="1:15" s="29" customFormat="1" ht="17.25" customHeight="1" x14ac:dyDescent="0.25">
      <c r="B33" s="86" t="s">
        <v>498</v>
      </c>
      <c r="C33" s="86" t="s">
        <v>56</v>
      </c>
      <c r="D33" s="56" t="s">
        <v>63</v>
      </c>
      <c r="E33" s="86" t="s">
        <v>1</v>
      </c>
      <c r="F33" s="86"/>
      <c r="G33" s="102">
        <v>4.5</v>
      </c>
      <c r="H33" s="56">
        <v>2010</v>
      </c>
      <c r="I33" s="127" t="s">
        <v>15</v>
      </c>
      <c r="J33" s="154" t="s">
        <v>25</v>
      </c>
      <c r="K33" s="127" t="s">
        <v>508</v>
      </c>
      <c r="L33" s="127" t="s">
        <v>13</v>
      </c>
      <c r="M33" s="111" t="s">
        <v>14</v>
      </c>
      <c r="N33" s="127" t="s">
        <v>508</v>
      </c>
      <c r="O33" s="56"/>
    </row>
    <row r="34" spans="1:15" s="29" customFormat="1" ht="17.25" customHeight="1" x14ac:dyDescent="0.25">
      <c r="B34" s="86" t="s">
        <v>498</v>
      </c>
      <c r="C34" s="86" t="s">
        <v>56</v>
      </c>
      <c r="D34" s="56" t="s">
        <v>64</v>
      </c>
      <c r="E34" s="86" t="s">
        <v>65</v>
      </c>
      <c r="F34" s="86"/>
      <c r="G34" s="102">
        <v>3</v>
      </c>
      <c r="H34" s="56">
        <v>2016</v>
      </c>
      <c r="I34" s="127" t="s">
        <v>480</v>
      </c>
      <c r="J34" s="154" t="s">
        <v>515</v>
      </c>
      <c r="K34" s="127"/>
      <c r="L34" s="127" t="s">
        <v>607</v>
      </c>
      <c r="M34" s="111"/>
      <c r="N34" s="127"/>
      <c r="O34" s="56"/>
    </row>
    <row r="35" spans="1:15" s="29" customFormat="1" ht="17.25" customHeight="1" x14ac:dyDescent="0.25">
      <c r="B35" s="86"/>
      <c r="C35" s="86"/>
      <c r="D35" s="56"/>
      <c r="E35" s="86"/>
      <c r="F35" s="86"/>
      <c r="G35" s="102"/>
      <c r="H35" s="56"/>
      <c r="I35" s="127"/>
      <c r="J35" s="154"/>
      <c r="K35" s="127"/>
      <c r="L35" s="127"/>
      <c r="M35" s="111"/>
      <c r="N35" s="127"/>
      <c r="O35" s="56"/>
    </row>
    <row r="36" spans="1:15" s="29" customFormat="1" ht="17.25" customHeight="1" x14ac:dyDescent="0.25">
      <c r="B36" s="86"/>
      <c r="C36" s="86"/>
      <c r="D36" s="56"/>
      <c r="E36" s="86"/>
      <c r="F36" s="86"/>
      <c r="G36" s="102"/>
      <c r="H36" s="56"/>
      <c r="I36" s="127"/>
      <c r="J36" s="154"/>
      <c r="K36" s="127"/>
      <c r="L36" s="127"/>
      <c r="M36" s="111"/>
      <c r="N36" s="127"/>
      <c r="O36" s="56"/>
    </row>
    <row r="37" spans="1:15" s="29" customFormat="1" x14ac:dyDescent="0.25">
      <c r="B37" s="86" t="s">
        <v>498</v>
      </c>
      <c r="C37" s="86" t="s">
        <v>56</v>
      </c>
      <c r="D37" s="56" t="s">
        <v>61</v>
      </c>
      <c r="E37" s="86" t="s">
        <v>62</v>
      </c>
      <c r="F37" s="86"/>
      <c r="G37" s="69" t="s">
        <v>1645</v>
      </c>
      <c r="H37" s="56" t="s">
        <v>491</v>
      </c>
      <c r="I37" s="111"/>
      <c r="J37" s="111"/>
      <c r="K37" s="111"/>
      <c r="L37" s="111"/>
      <c r="M37" s="111"/>
      <c r="N37" s="56"/>
      <c r="O37" s="56"/>
    </row>
    <row r="38" spans="1:15" s="29" customFormat="1" x14ac:dyDescent="0.25">
      <c r="B38" s="86" t="s">
        <v>498</v>
      </c>
      <c r="C38" s="86" t="s">
        <v>56</v>
      </c>
      <c r="D38" s="56" t="s">
        <v>66</v>
      </c>
      <c r="E38" s="86" t="s">
        <v>67</v>
      </c>
      <c r="F38" s="86"/>
      <c r="G38" s="69" t="s">
        <v>1645</v>
      </c>
      <c r="H38" s="56" t="s">
        <v>491</v>
      </c>
      <c r="I38" s="111"/>
      <c r="J38" s="111"/>
      <c r="K38" s="111"/>
      <c r="L38" s="111"/>
      <c r="M38" s="111"/>
      <c r="N38" s="56"/>
      <c r="O38" s="56"/>
    </row>
    <row r="39" spans="1:15" s="29" customFormat="1" ht="17.25" customHeight="1" x14ac:dyDescent="0.25">
      <c r="B39" s="86"/>
      <c r="C39" s="86"/>
      <c r="D39" s="56"/>
      <c r="E39" s="86"/>
      <c r="F39" s="86"/>
      <c r="G39" s="102"/>
      <c r="H39" s="56"/>
      <c r="I39" s="127"/>
      <c r="J39" s="154"/>
      <c r="K39" s="127"/>
      <c r="L39" s="127"/>
      <c r="M39" s="111"/>
      <c r="N39" s="127"/>
      <c r="O39" s="56"/>
    </row>
    <row r="40" spans="1:15" s="29" customFormat="1" x14ac:dyDescent="0.25">
      <c r="B40" s="86"/>
      <c r="C40" s="86"/>
      <c r="D40" s="56"/>
      <c r="E40" s="86"/>
      <c r="F40" s="86"/>
      <c r="G40" s="56"/>
      <c r="H40" s="56"/>
      <c r="I40" s="111"/>
      <c r="J40" s="111"/>
      <c r="K40" s="111"/>
      <c r="L40" s="111"/>
      <c r="M40" s="111"/>
      <c r="N40" s="56"/>
      <c r="O40" s="56"/>
    </row>
    <row r="41" spans="1:15" s="29" customFormat="1" ht="16.5" thickBot="1" x14ac:dyDescent="0.3">
      <c r="B41" s="86"/>
      <c r="C41" s="86"/>
      <c r="D41" s="56"/>
      <c r="E41" s="86"/>
      <c r="F41" s="86"/>
      <c r="G41" s="56"/>
      <c r="H41" s="56"/>
      <c r="I41" s="111"/>
      <c r="J41" s="111"/>
      <c r="K41" s="111"/>
      <c r="L41" s="111"/>
      <c r="M41" s="111"/>
      <c r="N41" s="56"/>
      <c r="O41" s="56"/>
    </row>
    <row r="42" spans="1:15" s="29" customFormat="1" ht="16.5" thickTop="1" x14ac:dyDescent="0.25">
      <c r="B42" s="128"/>
      <c r="C42" s="128"/>
      <c r="D42" s="74"/>
      <c r="E42" s="128"/>
      <c r="F42" s="128"/>
      <c r="G42" s="74"/>
      <c r="H42" s="74"/>
      <c r="I42" s="153"/>
      <c r="J42" s="153"/>
      <c r="K42" s="153"/>
      <c r="L42" s="153"/>
      <c r="M42" s="153"/>
      <c r="N42" s="74"/>
      <c r="O42" s="56"/>
    </row>
    <row r="43" spans="1:15" s="29" customFormat="1" ht="17.25" customHeight="1" x14ac:dyDescent="0.25">
      <c r="A43" s="40"/>
      <c r="B43" s="86" t="s">
        <v>498</v>
      </c>
      <c r="C43" s="86" t="s">
        <v>1642</v>
      </c>
      <c r="D43" s="56" t="s">
        <v>82</v>
      </c>
      <c r="E43" s="86" t="s">
        <v>83</v>
      </c>
      <c r="F43" s="86"/>
      <c r="G43" s="56">
        <v>0.7</v>
      </c>
      <c r="H43" s="56">
        <v>2017</v>
      </c>
      <c r="I43" s="111" t="s">
        <v>528</v>
      </c>
      <c r="J43" s="56"/>
      <c r="K43" s="111"/>
      <c r="L43" s="111" t="s">
        <v>1470</v>
      </c>
      <c r="M43" s="111"/>
      <c r="N43" s="56"/>
      <c r="O43" s="56"/>
    </row>
    <row r="44" spans="1:15" s="29" customFormat="1" ht="17.25" customHeight="1" x14ac:dyDescent="0.25">
      <c r="B44" s="86" t="s">
        <v>498</v>
      </c>
      <c r="C44" s="86" t="s">
        <v>1642</v>
      </c>
      <c r="D44" s="56" t="s">
        <v>84</v>
      </c>
      <c r="E44" s="86" t="s">
        <v>85</v>
      </c>
      <c r="F44" s="86"/>
      <c r="G44" s="102">
        <v>34.25</v>
      </c>
      <c r="H44" s="56">
        <v>2014</v>
      </c>
      <c r="I44" s="127" t="s">
        <v>633</v>
      </c>
      <c r="J44" s="154" t="s">
        <v>595</v>
      </c>
      <c r="K44" s="127" t="s">
        <v>508</v>
      </c>
      <c r="L44" s="127" t="s">
        <v>1169</v>
      </c>
      <c r="M44" s="111" t="s">
        <v>1175</v>
      </c>
      <c r="N44" s="127" t="s">
        <v>508</v>
      </c>
      <c r="O44" s="56"/>
    </row>
    <row r="45" spans="1:15" s="29" customFormat="1" ht="17.25" customHeight="1" x14ac:dyDescent="0.25">
      <c r="B45" s="86" t="s">
        <v>498</v>
      </c>
      <c r="C45" s="86" t="s">
        <v>1642</v>
      </c>
      <c r="D45" s="56" t="s">
        <v>70</v>
      </c>
      <c r="E45" s="86" t="s">
        <v>71</v>
      </c>
      <c r="F45" s="86"/>
      <c r="G45" s="102">
        <v>5</v>
      </c>
      <c r="H45" s="78">
        <v>2017</v>
      </c>
      <c r="I45" s="127" t="s">
        <v>15</v>
      </c>
      <c r="J45" s="154" t="s">
        <v>1324</v>
      </c>
      <c r="K45" s="127" t="s">
        <v>508</v>
      </c>
      <c r="L45" s="113" t="s">
        <v>1369</v>
      </c>
      <c r="M45" s="111" t="s">
        <v>1325</v>
      </c>
      <c r="N45" s="127" t="s">
        <v>508</v>
      </c>
      <c r="O45" s="56"/>
    </row>
    <row r="46" spans="1:15" s="29" customFormat="1" ht="17.25" customHeight="1" x14ac:dyDescent="0.25">
      <c r="B46" s="86"/>
      <c r="C46" s="86"/>
      <c r="D46" s="56"/>
      <c r="E46" s="86"/>
      <c r="F46" s="86"/>
      <c r="G46" s="102"/>
      <c r="H46" s="78"/>
      <c r="I46" s="127"/>
      <c r="J46" s="154"/>
      <c r="K46" s="127"/>
      <c r="L46" s="113"/>
      <c r="M46" s="111"/>
      <c r="N46" s="127"/>
      <c r="O46" s="56"/>
    </row>
    <row r="47" spans="1:15" s="29" customFormat="1" ht="17.25" customHeight="1" x14ac:dyDescent="0.25">
      <c r="B47" s="86"/>
      <c r="C47" s="86"/>
      <c r="D47" s="56"/>
      <c r="E47" s="86"/>
      <c r="F47" s="86"/>
      <c r="G47" s="102"/>
      <c r="H47" s="78"/>
      <c r="I47" s="127"/>
      <c r="J47" s="154"/>
      <c r="K47" s="127"/>
      <c r="L47" s="113"/>
      <c r="M47" s="111"/>
      <c r="N47" s="127"/>
      <c r="O47" s="56"/>
    </row>
    <row r="48" spans="1:15" s="29" customFormat="1" x14ac:dyDescent="0.25">
      <c r="B48" s="86" t="s">
        <v>498</v>
      </c>
      <c r="C48" s="86" t="s">
        <v>1642</v>
      </c>
      <c r="D48" s="56" t="s">
        <v>76</v>
      </c>
      <c r="E48" s="86" t="s">
        <v>77</v>
      </c>
      <c r="F48" s="86"/>
      <c r="G48" s="69" t="s">
        <v>1645</v>
      </c>
      <c r="H48" s="56" t="s">
        <v>491</v>
      </c>
      <c r="I48" s="111"/>
      <c r="J48" s="111"/>
      <c r="K48" s="111"/>
      <c r="L48" s="111"/>
      <c r="M48" s="111"/>
      <c r="N48" s="56"/>
      <c r="O48" s="56"/>
    </row>
    <row r="49" spans="1:15" s="29" customFormat="1" x14ac:dyDescent="0.25">
      <c r="B49" s="86" t="s">
        <v>498</v>
      </c>
      <c r="C49" s="86" t="s">
        <v>1642</v>
      </c>
      <c r="D49" s="56" t="s">
        <v>78</v>
      </c>
      <c r="E49" s="86" t="s">
        <v>79</v>
      </c>
      <c r="F49" s="86"/>
      <c r="G49" s="69" t="s">
        <v>1645</v>
      </c>
      <c r="H49" s="56" t="s">
        <v>491</v>
      </c>
      <c r="I49" s="111"/>
      <c r="J49" s="111"/>
      <c r="K49" s="111"/>
      <c r="L49" s="111"/>
      <c r="M49" s="111"/>
      <c r="N49" s="56"/>
      <c r="O49" s="56"/>
    </row>
    <row r="50" spans="1:15" s="29" customFormat="1" x14ac:dyDescent="0.25">
      <c r="B50" s="86" t="s">
        <v>498</v>
      </c>
      <c r="C50" s="86" t="s">
        <v>1642</v>
      </c>
      <c r="D50" s="56" t="s">
        <v>80</v>
      </c>
      <c r="E50" s="86" t="s">
        <v>81</v>
      </c>
      <c r="F50" s="86"/>
      <c r="G50" s="69" t="s">
        <v>1645</v>
      </c>
      <c r="H50" s="56" t="s">
        <v>491</v>
      </c>
      <c r="I50" s="111"/>
      <c r="J50" s="111"/>
      <c r="K50" s="111"/>
      <c r="L50" s="111"/>
      <c r="M50" s="111"/>
      <c r="N50" s="56"/>
      <c r="O50" s="56"/>
    </row>
    <row r="51" spans="1:15" s="29" customFormat="1" x14ac:dyDescent="0.25">
      <c r="B51" s="86" t="s">
        <v>498</v>
      </c>
      <c r="C51" s="86" t="s">
        <v>1642</v>
      </c>
      <c r="D51" s="56" t="s">
        <v>68</v>
      </c>
      <c r="E51" s="86" t="s">
        <v>69</v>
      </c>
      <c r="F51" s="86"/>
      <c r="G51" s="69" t="s">
        <v>1645</v>
      </c>
      <c r="H51" s="56" t="s">
        <v>491</v>
      </c>
      <c r="I51" s="111"/>
      <c r="J51" s="111"/>
      <c r="K51" s="111"/>
      <c r="L51" s="111"/>
      <c r="M51" s="111"/>
      <c r="N51" s="56"/>
      <c r="O51" s="56"/>
    </row>
    <row r="52" spans="1:15" s="29" customFormat="1" x14ac:dyDescent="0.25">
      <c r="B52" s="86" t="s">
        <v>498</v>
      </c>
      <c r="C52" s="86" t="s">
        <v>1642</v>
      </c>
      <c r="D52" s="56" t="s">
        <v>54</v>
      </c>
      <c r="E52" s="86" t="s">
        <v>55</v>
      </c>
      <c r="F52" s="86"/>
      <c r="G52" s="69" t="s">
        <v>1645</v>
      </c>
      <c r="H52" s="56"/>
      <c r="I52" s="111"/>
      <c r="J52" s="111"/>
      <c r="K52" s="111"/>
      <c r="L52" s="111"/>
      <c r="M52" s="111"/>
      <c r="N52" s="56"/>
      <c r="O52" s="56"/>
    </row>
    <row r="53" spans="1:15" s="29" customFormat="1" x14ac:dyDescent="0.25">
      <c r="B53" s="86" t="s">
        <v>498</v>
      </c>
      <c r="C53" s="86" t="s">
        <v>1642</v>
      </c>
      <c r="D53" s="56" t="s">
        <v>86</v>
      </c>
      <c r="E53" s="56" t="s">
        <v>1609</v>
      </c>
      <c r="F53" s="86"/>
      <c r="G53" s="69" t="s">
        <v>1645</v>
      </c>
      <c r="H53" s="56" t="s">
        <v>491</v>
      </c>
      <c r="I53" s="111"/>
      <c r="J53" s="111"/>
      <c r="K53" s="111"/>
      <c r="L53" s="111"/>
      <c r="M53" s="111"/>
      <c r="N53" s="56"/>
      <c r="O53" s="56"/>
    </row>
    <row r="54" spans="1:15" s="29" customFormat="1" x14ac:dyDescent="0.25">
      <c r="B54" s="86" t="s">
        <v>498</v>
      </c>
      <c r="C54" s="86" t="s">
        <v>1642</v>
      </c>
      <c r="D54" s="56" t="s">
        <v>72</v>
      </c>
      <c r="E54" s="86" t="s">
        <v>73</v>
      </c>
      <c r="F54" s="86"/>
      <c r="G54" s="69" t="s">
        <v>1645</v>
      </c>
      <c r="H54" s="56" t="s">
        <v>491</v>
      </c>
      <c r="I54" s="111"/>
      <c r="J54" s="111"/>
      <c r="K54" s="111"/>
      <c r="L54" s="111"/>
      <c r="M54" s="111"/>
      <c r="N54" s="56"/>
      <c r="O54" s="56"/>
    </row>
    <row r="55" spans="1:15" s="29" customFormat="1" x14ac:dyDescent="0.25">
      <c r="B55" s="86" t="s">
        <v>498</v>
      </c>
      <c r="C55" s="86" t="s">
        <v>1642</v>
      </c>
      <c r="D55" s="56" t="s">
        <v>74</v>
      </c>
      <c r="E55" s="86" t="s">
        <v>75</v>
      </c>
      <c r="F55" s="86"/>
      <c r="G55" s="69" t="s">
        <v>1645</v>
      </c>
      <c r="H55" s="56" t="s">
        <v>491</v>
      </c>
      <c r="I55" s="111"/>
      <c r="J55" s="111"/>
      <c r="K55" s="111"/>
      <c r="L55" s="111"/>
      <c r="M55" s="111"/>
      <c r="N55" s="56"/>
      <c r="O55" s="56"/>
    </row>
    <row r="56" spans="1:15" s="29" customFormat="1" ht="17.25" customHeight="1" x14ac:dyDescent="0.25">
      <c r="B56" s="86"/>
      <c r="C56" s="86"/>
      <c r="D56" s="56"/>
      <c r="E56" s="86"/>
      <c r="F56" s="86"/>
      <c r="G56" s="102"/>
      <c r="H56" s="78"/>
      <c r="I56" s="127"/>
      <c r="J56" s="154"/>
      <c r="K56" s="127"/>
      <c r="L56" s="113"/>
      <c r="M56" s="111"/>
      <c r="N56" s="127"/>
      <c r="O56" s="56"/>
    </row>
    <row r="57" spans="1:15" s="29" customFormat="1" x14ac:dyDescent="0.25">
      <c r="B57" s="86"/>
      <c r="C57" s="86"/>
      <c r="D57" s="56"/>
      <c r="E57" s="86"/>
      <c r="F57" s="86"/>
      <c r="G57" s="56"/>
      <c r="H57" s="56"/>
      <c r="I57" s="111"/>
      <c r="J57" s="111"/>
      <c r="K57" s="111"/>
      <c r="L57" s="111"/>
      <c r="M57" s="111"/>
      <c r="N57" s="56"/>
      <c r="O57" s="56"/>
    </row>
    <row r="58" spans="1:15" s="29" customFormat="1" ht="16.5" thickBot="1" x14ac:dyDescent="0.3">
      <c r="B58" s="86"/>
      <c r="C58" s="86"/>
      <c r="D58" s="56"/>
      <c r="E58" s="86"/>
      <c r="F58" s="86"/>
      <c r="G58" s="56"/>
      <c r="H58" s="56"/>
      <c r="I58" s="111"/>
      <c r="J58" s="111"/>
      <c r="K58" s="111"/>
      <c r="L58" s="111"/>
      <c r="M58" s="111"/>
      <c r="N58" s="56"/>
      <c r="O58" s="56"/>
    </row>
    <row r="59" spans="1:15" s="29" customFormat="1" ht="16.5" thickTop="1" x14ac:dyDescent="0.25">
      <c r="B59" s="128"/>
      <c r="C59" s="128"/>
      <c r="D59" s="74"/>
      <c r="E59" s="128"/>
      <c r="F59" s="128"/>
      <c r="G59" s="74"/>
      <c r="H59" s="74"/>
      <c r="I59" s="153"/>
      <c r="J59" s="153"/>
      <c r="K59" s="153"/>
      <c r="L59" s="153"/>
      <c r="M59" s="153"/>
      <c r="N59" s="74"/>
      <c r="O59" s="56"/>
    </row>
    <row r="60" spans="1:15" s="29" customFormat="1" ht="17.25" customHeight="1" x14ac:dyDescent="0.25">
      <c r="A60" s="32"/>
      <c r="B60" s="86" t="s">
        <v>498</v>
      </c>
      <c r="C60" s="86" t="s">
        <v>87</v>
      </c>
      <c r="D60" s="56" t="s">
        <v>93</v>
      </c>
      <c r="E60" s="86" t="s">
        <v>94</v>
      </c>
      <c r="F60" s="86"/>
      <c r="G60" s="102">
        <v>7.8</v>
      </c>
      <c r="H60" s="78">
        <v>2013</v>
      </c>
      <c r="I60" s="127" t="s">
        <v>643</v>
      </c>
      <c r="J60" s="154" t="s">
        <v>595</v>
      </c>
      <c r="K60" s="127" t="s">
        <v>508</v>
      </c>
      <c r="L60" s="127" t="s">
        <v>1161</v>
      </c>
      <c r="M60" s="111" t="s">
        <v>1166</v>
      </c>
      <c r="N60" s="127" t="s">
        <v>508</v>
      </c>
      <c r="O60" s="56"/>
    </row>
    <row r="61" spans="1:15" s="29" customFormat="1" ht="17.25" customHeight="1" x14ac:dyDescent="0.25">
      <c r="B61" s="86" t="s">
        <v>498</v>
      </c>
      <c r="C61" s="86" t="s">
        <v>87</v>
      </c>
      <c r="D61" s="56" t="s">
        <v>135</v>
      </c>
      <c r="E61" s="86" t="s">
        <v>136</v>
      </c>
      <c r="F61" s="86"/>
      <c r="G61" s="102">
        <v>7.2</v>
      </c>
      <c r="H61" s="56">
        <v>2011</v>
      </c>
      <c r="I61" s="127" t="s">
        <v>555</v>
      </c>
      <c r="J61" s="154" t="s">
        <v>25</v>
      </c>
      <c r="K61" s="127" t="s">
        <v>508</v>
      </c>
      <c r="L61" s="127" t="s">
        <v>554</v>
      </c>
      <c r="M61" s="111" t="s">
        <v>553</v>
      </c>
      <c r="N61" s="127" t="s">
        <v>508</v>
      </c>
      <c r="O61" s="56"/>
    </row>
    <row r="62" spans="1:15" s="29" customFormat="1" x14ac:dyDescent="0.25">
      <c r="B62" s="86"/>
      <c r="C62" s="86"/>
      <c r="D62" s="56"/>
      <c r="E62" s="86"/>
      <c r="F62" s="86"/>
      <c r="G62" s="56"/>
      <c r="H62" s="56"/>
      <c r="I62" s="111"/>
      <c r="J62" s="111"/>
      <c r="K62" s="111"/>
      <c r="L62" s="111"/>
      <c r="M62" s="111"/>
      <c r="N62" s="56"/>
      <c r="O62" s="56"/>
    </row>
    <row r="63" spans="1:15" s="29" customFormat="1" x14ac:dyDescent="0.25">
      <c r="B63" s="86"/>
      <c r="C63" s="86"/>
      <c r="D63" s="56"/>
      <c r="E63" s="86"/>
      <c r="F63" s="86"/>
      <c r="G63" s="56"/>
      <c r="H63" s="56"/>
      <c r="I63" s="111"/>
      <c r="J63" s="111"/>
      <c r="K63" s="111"/>
      <c r="L63" s="111"/>
      <c r="M63" s="111"/>
      <c r="N63" s="56"/>
      <c r="O63" s="56"/>
    </row>
    <row r="64" spans="1:15" s="29" customFormat="1" x14ac:dyDescent="0.25">
      <c r="B64" s="86" t="s">
        <v>498</v>
      </c>
      <c r="C64" s="86" t="s">
        <v>87</v>
      </c>
      <c r="D64" s="56" t="s">
        <v>99</v>
      </c>
      <c r="E64" s="86" t="s">
        <v>100</v>
      </c>
      <c r="F64" s="86"/>
      <c r="G64" s="69" t="s">
        <v>1645</v>
      </c>
      <c r="H64" s="56" t="s">
        <v>491</v>
      </c>
      <c r="I64" s="111"/>
      <c r="J64" s="111"/>
      <c r="K64" s="111"/>
      <c r="L64" s="111"/>
      <c r="M64" s="111"/>
      <c r="N64" s="56"/>
      <c r="O64" s="56"/>
    </row>
    <row r="65" spans="2:15" s="29" customFormat="1" x14ac:dyDescent="0.25">
      <c r="B65" s="86" t="s">
        <v>498</v>
      </c>
      <c r="C65" s="86" t="s">
        <v>87</v>
      </c>
      <c r="D65" s="56" t="s">
        <v>88</v>
      </c>
      <c r="E65" s="86" t="s">
        <v>89</v>
      </c>
      <c r="F65" s="86"/>
      <c r="G65" s="69" t="s">
        <v>1645</v>
      </c>
      <c r="H65" s="56" t="s">
        <v>491</v>
      </c>
      <c r="I65" s="111"/>
      <c r="J65" s="111"/>
      <c r="K65" s="111"/>
      <c r="L65" s="111"/>
      <c r="M65" s="111"/>
      <c r="N65" s="56"/>
      <c r="O65" s="56"/>
    </row>
    <row r="66" spans="2:15" s="29" customFormat="1" x14ac:dyDescent="0.25">
      <c r="B66" s="86" t="s">
        <v>498</v>
      </c>
      <c r="C66" s="86" t="s">
        <v>87</v>
      </c>
      <c r="D66" s="56" t="s">
        <v>102</v>
      </c>
      <c r="E66" s="86" t="s">
        <v>103</v>
      </c>
      <c r="F66" s="86"/>
      <c r="G66" s="69" t="s">
        <v>1645</v>
      </c>
      <c r="H66" s="56" t="s">
        <v>491</v>
      </c>
      <c r="I66" s="111"/>
      <c r="J66" s="111"/>
      <c r="K66" s="111"/>
      <c r="L66" s="111"/>
      <c r="M66" s="111"/>
      <c r="N66" s="56"/>
      <c r="O66" s="56"/>
    </row>
    <row r="67" spans="2:15" s="29" customFormat="1" x14ac:dyDescent="0.25">
      <c r="B67" s="86" t="s">
        <v>498</v>
      </c>
      <c r="C67" s="86" t="s">
        <v>87</v>
      </c>
      <c r="D67" s="56" t="s">
        <v>90</v>
      </c>
      <c r="E67" s="86" t="s">
        <v>581</v>
      </c>
      <c r="F67" s="86"/>
      <c r="G67" s="69" t="s">
        <v>1645</v>
      </c>
      <c r="H67" s="56" t="s">
        <v>491</v>
      </c>
      <c r="I67" s="111"/>
      <c r="J67" s="111"/>
      <c r="K67" s="111"/>
      <c r="L67" s="111"/>
      <c r="M67" s="111"/>
      <c r="N67" s="56"/>
      <c r="O67" s="56"/>
    </row>
    <row r="68" spans="2:15" s="29" customFormat="1" x14ac:dyDescent="0.25">
      <c r="B68" s="86" t="s">
        <v>498</v>
      </c>
      <c r="C68" s="86" t="s">
        <v>87</v>
      </c>
      <c r="D68" s="56" t="s">
        <v>104</v>
      </c>
      <c r="E68" s="86" t="s">
        <v>105</v>
      </c>
      <c r="F68" s="86"/>
      <c r="G68" s="69" t="s">
        <v>1645</v>
      </c>
      <c r="H68" s="56" t="s">
        <v>491</v>
      </c>
      <c r="I68" s="111"/>
      <c r="J68" s="111"/>
      <c r="K68" s="111"/>
      <c r="L68" s="111"/>
      <c r="M68" s="111"/>
      <c r="N68" s="56"/>
      <c r="O68" s="56"/>
    </row>
    <row r="69" spans="2:15" s="29" customFormat="1" x14ac:dyDescent="0.25">
      <c r="B69" s="86" t="s">
        <v>498</v>
      </c>
      <c r="C69" s="86" t="s">
        <v>87</v>
      </c>
      <c r="D69" s="56" t="s">
        <v>106</v>
      </c>
      <c r="E69" s="86" t="s">
        <v>107</v>
      </c>
      <c r="F69" s="86"/>
      <c r="G69" s="69" t="s">
        <v>1645</v>
      </c>
      <c r="H69" s="56" t="s">
        <v>491</v>
      </c>
      <c r="I69" s="111"/>
      <c r="J69" s="111"/>
      <c r="K69" s="111"/>
      <c r="L69" s="111"/>
      <c r="M69" s="111"/>
      <c r="N69" s="56"/>
      <c r="O69" s="56"/>
    </row>
    <row r="70" spans="2:15" s="29" customFormat="1" x14ac:dyDescent="0.25">
      <c r="B70" s="86" t="s">
        <v>498</v>
      </c>
      <c r="C70" s="86" t="s">
        <v>87</v>
      </c>
      <c r="D70" s="56" t="s">
        <v>108</v>
      </c>
      <c r="E70" s="86" t="s">
        <v>109</v>
      </c>
      <c r="F70" s="86"/>
      <c r="G70" s="69" t="s">
        <v>1645</v>
      </c>
      <c r="H70" s="56" t="s">
        <v>491</v>
      </c>
      <c r="I70" s="111"/>
      <c r="J70" s="111"/>
      <c r="K70" s="111"/>
      <c r="L70" s="111"/>
      <c r="M70" s="111"/>
      <c r="N70" s="56"/>
      <c r="O70" s="56"/>
    </row>
    <row r="71" spans="2:15" s="29" customFormat="1" x14ac:dyDescent="0.25">
      <c r="B71" s="86" t="s">
        <v>498</v>
      </c>
      <c r="C71" s="86" t="s">
        <v>87</v>
      </c>
      <c r="D71" s="56" t="s">
        <v>110</v>
      </c>
      <c r="E71" s="86" t="s">
        <v>495</v>
      </c>
      <c r="F71" s="86"/>
      <c r="G71" s="69" t="s">
        <v>1645</v>
      </c>
      <c r="H71" s="56" t="s">
        <v>491</v>
      </c>
      <c r="I71" s="111"/>
      <c r="J71" s="111"/>
      <c r="K71" s="111"/>
      <c r="L71" s="111"/>
      <c r="M71" s="111"/>
      <c r="N71" s="56"/>
      <c r="O71" s="56"/>
    </row>
    <row r="72" spans="2:15" s="29" customFormat="1" x14ac:dyDescent="0.25">
      <c r="B72" s="86" t="s">
        <v>498</v>
      </c>
      <c r="C72" s="86" t="s">
        <v>87</v>
      </c>
      <c r="D72" s="56" t="s">
        <v>111</v>
      </c>
      <c r="E72" s="86" t="s">
        <v>112</v>
      </c>
      <c r="F72" s="86"/>
      <c r="G72" s="69" t="s">
        <v>1645</v>
      </c>
      <c r="H72" s="56" t="s">
        <v>491</v>
      </c>
      <c r="I72" s="111"/>
      <c r="J72" s="111"/>
      <c r="K72" s="111"/>
      <c r="L72" s="111"/>
      <c r="M72" s="111"/>
      <c r="N72" s="56"/>
      <c r="O72" s="56"/>
    </row>
    <row r="73" spans="2:15" s="29" customFormat="1" x14ac:dyDescent="0.25">
      <c r="B73" s="86" t="s">
        <v>498</v>
      </c>
      <c r="C73" s="86" t="s">
        <v>87</v>
      </c>
      <c r="D73" s="56" t="s">
        <v>113</v>
      </c>
      <c r="E73" s="86" t="s">
        <v>114</v>
      </c>
      <c r="F73" s="86"/>
      <c r="G73" s="69" t="s">
        <v>1645</v>
      </c>
      <c r="H73" s="56" t="s">
        <v>491</v>
      </c>
      <c r="I73" s="111"/>
      <c r="J73" s="111"/>
      <c r="K73" s="111"/>
      <c r="L73" s="111"/>
      <c r="M73" s="111"/>
      <c r="N73" s="56"/>
      <c r="O73" s="56"/>
    </row>
    <row r="74" spans="2:15" s="29" customFormat="1" x14ac:dyDescent="0.25">
      <c r="B74" s="86" t="s">
        <v>498</v>
      </c>
      <c r="C74" s="86" t="s">
        <v>87</v>
      </c>
      <c r="D74" s="56" t="s">
        <v>115</v>
      </c>
      <c r="E74" s="86" t="s">
        <v>116</v>
      </c>
      <c r="F74" s="86"/>
      <c r="G74" s="69" t="s">
        <v>1645</v>
      </c>
      <c r="H74" s="56" t="s">
        <v>491</v>
      </c>
      <c r="I74" s="111"/>
      <c r="J74" s="111"/>
      <c r="K74" s="111"/>
      <c r="L74" s="111"/>
      <c r="M74" s="111"/>
      <c r="N74" s="56"/>
      <c r="O74" s="56"/>
    </row>
    <row r="75" spans="2:15" s="29" customFormat="1" x14ac:dyDescent="0.25">
      <c r="B75" s="86" t="s">
        <v>498</v>
      </c>
      <c r="C75" s="86" t="s">
        <v>87</v>
      </c>
      <c r="D75" s="56" t="s">
        <v>117</v>
      </c>
      <c r="E75" s="86" t="s">
        <v>118</v>
      </c>
      <c r="F75" s="86"/>
      <c r="G75" s="69" t="s">
        <v>1645</v>
      </c>
      <c r="H75" s="56" t="s">
        <v>491</v>
      </c>
      <c r="I75" s="111"/>
      <c r="J75" s="111"/>
      <c r="K75" s="111"/>
      <c r="L75" s="111"/>
      <c r="M75" s="111"/>
      <c r="N75" s="56"/>
      <c r="O75" s="56"/>
    </row>
    <row r="76" spans="2:15" s="29" customFormat="1" x14ac:dyDescent="0.25">
      <c r="B76" s="86" t="s">
        <v>498</v>
      </c>
      <c r="C76" s="86" t="s">
        <v>87</v>
      </c>
      <c r="D76" s="56" t="s">
        <v>119</v>
      </c>
      <c r="E76" s="86" t="s">
        <v>120</v>
      </c>
      <c r="F76" s="86"/>
      <c r="G76" s="69" t="s">
        <v>1645</v>
      </c>
      <c r="H76" s="56" t="s">
        <v>491</v>
      </c>
      <c r="I76" s="111"/>
      <c r="J76" s="111"/>
      <c r="K76" s="111"/>
      <c r="L76" s="111"/>
      <c r="M76" s="111"/>
      <c r="N76" s="56"/>
      <c r="O76" s="56"/>
    </row>
    <row r="77" spans="2:15" s="29" customFormat="1" x14ac:dyDescent="0.25">
      <c r="B77" s="86" t="s">
        <v>498</v>
      </c>
      <c r="C77" s="86" t="s">
        <v>87</v>
      </c>
      <c r="D77" s="56" t="s">
        <v>121</v>
      </c>
      <c r="E77" s="86" t="s">
        <v>122</v>
      </c>
      <c r="F77" s="86"/>
      <c r="G77" s="69" t="s">
        <v>1645</v>
      </c>
      <c r="H77" s="56" t="s">
        <v>491</v>
      </c>
      <c r="I77" s="111"/>
      <c r="J77" s="111"/>
      <c r="K77" s="111"/>
      <c r="L77" s="111"/>
      <c r="M77" s="111"/>
      <c r="N77" s="56"/>
      <c r="O77" s="56"/>
    </row>
    <row r="78" spans="2:15" s="29" customFormat="1" x14ac:dyDescent="0.25">
      <c r="B78" s="86" t="s">
        <v>498</v>
      </c>
      <c r="C78" s="86" t="s">
        <v>87</v>
      </c>
      <c r="D78" s="56" t="s">
        <v>123</v>
      </c>
      <c r="E78" s="86" t="s">
        <v>124</v>
      </c>
      <c r="F78" s="86"/>
      <c r="G78" s="69" t="s">
        <v>1645</v>
      </c>
      <c r="H78" s="56" t="s">
        <v>491</v>
      </c>
      <c r="I78" s="111"/>
      <c r="J78" s="111"/>
      <c r="K78" s="111"/>
      <c r="L78" s="111"/>
      <c r="M78" s="111"/>
      <c r="N78" s="56"/>
      <c r="O78" s="56"/>
    </row>
    <row r="79" spans="2:15" s="29" customFormat="1" x14ac:dyDescent="0.25">
      <c r="B79" s="86" t="s">
        <v>498</v>
      </c>
      <c r="C79" s="86" t="s">
        <v>87</v>
      </c>
      <c r="D79" s="56" t="s">
        <v>91</v>
      </c>
      <c r="E79" s="86" t="s">
        <v>92</v>
      </c>
      <c r="F79" s="86"/>
      <c r="G79" s="69" t="s">
        <v>1645</v>
      </c>
      <c r="H79" s="56" t="s">
        <v>491</v>
      </c>
      <c r="I79" s="111"/>
      <c r="J79" s="111"/>
      <c r="K79" s="111"/>
      <c r="L79" s="111"/>
      <c r="M79" s="111"/>
      <c r="N79" s="56"/>
      <c r="O79" s="56"/>
    </row>
    <row r="80" spans="2:15" s="29" customFormat="1" x14ac:dyDescent="0.25">
      <c r="B80" s="86" t="s">
        <v>498</v>
      </c>
      <c r="C80" s="86" t="s">
        <v>87</v>
      </c>
      <c r="D80" s="56" t="s">
        <v>125</v>
      </c>
      <c r="E80" s="86" t="s">
        <v>126</v>
      </c>
      <c r="F80" s="86"/>
      <c r="G80" s="69" t="s">
        <v>1645</v>
      </c>
      <c r="H80" s="56" t="s">
        <v>491</v>
      </c>
      <c r="I80" s="111"/>
      <c r="J80" s="111"/>
      <c r="K80" s="111"/>
      <c r="L80" s="111"/>
      <c r="M80" s="111"/>
      <c r="N80" s="56"/>
      <c r="O80" s="56"/>
    </row>
    <row r="81" spans="2:15" s="29" customFormat="1" x14ac:dyDescent="0.25">
      <c r="B81" s="86" t="s">
        <v>498</v>
      </c>
      <c r="C81" s="86" t="s">
        <v>87</v>
      </c>
      <c r="D81" s="56" t="s">
        <v>127</v>
      </c>
      <c r="E81" s="86" t="s">
        <v>128</v>
      </c>
      <c r="F81" s="86"/>
      <c r="G81" s="69" t="s">
        <v>1645</v>
      </c>
      <c r="H81" s="56" t="s">
        <v>491</v>
      </c>
      <c r="I81" s="111"/>
      <c r="J81" s="111"/>
      <c r="K81" s="111"/>
      <c r="L81" s="111"/>
      <c r="M81" s="111"/>
      <c r="N81" s="56"/>
      <c r="O81" s="56"/>
    </row>
    <row r="82" spans="2:15" s="29" customFormat="1" x14ac:dyDescent="0.25">
      <c r="B82" s="86" t="s">
        <v>498</v>
      </c>
      <c r="C82" s="86" t="s">
        <v>87</v>
      </c>
      <c r="D82" s="56" t="s">
        <v>129</v>
      </c>
      <c r="E82" s="86" t="s">
        <v>130</v>
      </c>
      <c r="F82" s="86"/>
      <c r="G82" s="69" t="s">
        <v>1645</v>
      </c>
      <c r="H82" s="56" t="s">
        <v>491</v>
      </c>
      <c r="I82" s="111"/>
      <c r="J82" s="111"/>
      <c r="K82" s="111"/>
      <c r="L82" s="111"/>
      <c r="M82" s="111"/>
      <c r="N82" s="56"/>
      <c r="O82" s="56"/>
    </row>
    <row r="83" spans="2:15" s="29" customFormat="1" x14ac:dyDescent="0.25">
      <c r="B83" s="86" t="s">
        <v>498</v>
      </c>
      <c r="C83" s="86" t="s">
        <v>87</v>
      </c>
      <c r="D83" s="56" t="s">
        <v>131</v>
      </c>
      <c r="E83" s="86" t="s">
        <v>132</v>
      </c>
      <c r="F83" s="86"/>
      <c r="G83" s="69" t="s">
        <v>1645</v>
      </c>
      <c r="H83" s="56"/>
      <c r="I83" s="111"/>
      <c r="J83" s="111"/>
      <c r="K83" s="111"/>
      <c r="L83" s="111"/>
      <c r="M83" s="111"/>
      <c r="N83" s="56"/>
      <c r="O83" s="56"/>
    </row>
    <row r="84" spans="2:15" s="29" customFormat="1" x14ac:dyDescent="0.25">
      <c r="B84" s="86" t="s">
        <v>498</v>
      </c>
      <c r="C84" s="86" t="s">
        <v>87</v>
      </c>
      <c r="D84" s="56" t="s">
        <v>133</v>
      </c>
      <c r="E84" s="86" t="s">
        <v>134</v>
      </c>
      <c r="F84" s="86"/>
      <c r="G84" s="69" t="s">
        <v>1645</v>
      </c>
      <c r="H84" s="56" t="s">
        <v>491</v>
      </c>
      <c r="I84" s="111"/>
      <c r="J84" s="111"/>
      <c r="K84" s="111"/>
      <c r="L84" s="111"/>
      <c r="M84" s="111"/>
      <c r="N84" s="56"/>
      <c r="O84" s="56"/>
    </row>
    <row r="85" spans="2:15" s="29" customFormat="1" x14ac:dyDescent="0.25">
      <c r="B85" s="86" t="s">
        <v>498</v>
      </c>
      <c r="C85" s="86" t="s">
        <v>87</v>
      </c>
      <c r="D85" s="56" t="s">
        <v>95</v>
      </c>
      <c r="E85" s="86" t="s">
        <v>96</v>
      </c>
      <c r="F85" s="86"/>
      <c r="G85" s="69" t="s">
        <v>1645</v>
      </c>
      <c r="H85" s="56" t="s">
        <v>491</v>
      </c>
      <c r="I85" s="111"/>
      <c r="J85" s="111"/>
      <c r="K85" s="111"/>
      <c r="L85" s="111"/>
      <c r="M85" s="111"/>
      <c r="N85" s="56"/>
      <c r="O85" s="56"/>
    </row>
    <row r="86" spans="2:15" s="29" customFormat="1" x14ac:dyDescent="0.25">
      <c r="B86" s="86" t="s">
        <v>498</v>
      </c>
      <c r="C86" s="86" t="s">
        <v>87</v>
      </c>
      <c r="D86" s="56" t="s">
        <v>97</v>
      </c>
      <c r="E86" s="86" t="s">
        <v>98</v>
      </c>
      <c r="F86" s="86"/>
      <c r="G86" s="69" t="s">
        <v>1645</v>
      </c>
      <c r="H86" s="56" t="s">
        <v>491</v>
      </c>
      <c r="I86" s="111"/>
      <c r="J86" s="111"/>
      <c r="K86" s="111"/>
      <c r="L86" s="111"/>
      <c r="M86" s="111"/>
      <c r="N86" s="56"/>
      <c r="O86" s="56"/>
    </row>
    <row r="87" spans="2:15" s="29" customFormat="1" x14ac:dyDescent="0.25">
      <c r="B87" s="86"/>
      <c r="C87" s="86"/>
      <c r="D87" s="56"/>
      <c r="E87" s="86"/>
      <c r="F87" s="86"/>
      <c r="G87" s="56"/>
      <c r="H87" s="56"/>
      <c r="I87" s="111"/>
      <c r="J87" s="111"/>
      <c r="K87" s="111"/>
      <c r="L87" s="111"/>
      <c r="M87" s="111"/>
      <c r="N87" s="56"/>
      <c r="O87" s="56"/>
    </row>
    <row r="88" spans="2:15" s="29" customFormat="1" x14ac:dyDescent="0.25">
      <c r="B88" s="86"/>
      <c r="C88" s="86"/>
      <c r="D88" s="56"/>
      <c r="E88" s="86"/>
      <c r="F88" s="86"/>
      <c r="G88" s="56"/>
      <c r="H88" s="56"/>
      <c r="I88" s="111"/>
      <c r="J88" s="111"/>
      <c r="K88" s="111"/>
      <c r="L88" s="111"/>
      <c r="M88" s="111"/>
      <c r="N88" s="56"/>
      <c r="O88" s="56"/>
    </row>
    <row r="89" spans="2:15" s="29" customFormat="1" ht="16.5" thickBot="1" x14ac:dyDescent="0.3">
      <c r="B89" s="86"/>
      <c r="C89" s="86"/>
      <c r="D89" s="56"/>
      <c r="E89" s="86"/>
      <c r="F89" s="86"/>
      <c r="G89" s="56"/>
      <c r="H89" s="56"/>
      <c r="I89" s="111"/>
      <c r="J89" s="111"/>
      <c r="K89" s="111"/>
      <c r="L89" s="111"/>
      <c r="M89" s="111"/>
      <c r="N89" s="56"/>
      <c r="O89" s="56"/>
    </row>
    <row r="90" spans="2:15" s="29" customFormat="1" ht="16.5" thickTop="1" x14ac:dyDescent="0.25">
      <c r="B90" s="128"/>
      <c r="C90" s="128"/>
      <c r="D90" s="74"/>
      <c r="E90" s="128"/>
      <c r="F90" s="128"/>
      <c r="G90" s="74"/>
      <c r="H90" s="74"/>
      <c r="I90" s="153"/>
      <c r="J90" s="153"/>
      <c r="K90" s="153"/>
      <c r="L90" s="153"/>
      <c r="M90" s="153"/>
      <c r="N90" s="74"/>
      <c r="O90" s="56"/>
    </row>
    <row r="91" spans="2:15" s="29" customFormat="1" x14ac:dyDescent="0.25">
      <c r="B91" s="135" t="s">
        <v>501</v>
      </c>
      <c r="C91" s="135" t="s">
        <v>152</v>
      </c>
      <c r="D91" s="80" t="s">
        <v>155</v>
      </c>
      <c r="E91" s="135" t="s">
        <v>156</v>
      </c>
      <c r="F91" s="135"/>
      <c r="G91" s="80">
        <v>0.21</v>
      </c>
      <c r="H91" s="80">
        <v>2000</v>
      </c>
      <c r="I91" s="155" t="s">
        <v>480</v>
      </c>
      <c r="J91" s="155" t="s">
        <v>25</v>
      </c>
      <c r="K91" s="155"/>
      <c r="L91" s="155" t="s">
        <v>672</v>
      </c>
      <c r="M91" s="156" t="s">
        <v>673</v>
      </c>
      <c r="N91" s="155" t="s">
        <v>508</v>
      </c>
      <c r="O91" s="56"/>
    </row>
    <row r="92" spans="2:15" s="29" customFormat="1" x14ac:dyDescent="0.25">
      <c r="B92" s="135" t="s">
        <v>501</v>
      </c>
      <c r="C92" s="135" t="s">
        <v>152</v>
      </c>
      <c r="D92" s="80" t="s">
        <v>157</v>
      </c>
      <c r="E92" s="135" t="s">
        <v>158</v>
      </c>
      <c r="F92" s="135"/>
      <c r="G92" s="80">
        <v>4.8</v>
      </c>
      <c r="H92" s="80">
        <v>2011</v>
      </c>
      <c r="I92" s="155" t="s">
        <v>643</v>
      </c>
      <c r="J92" s="155" t="s">
        <v>25</v>
      </c>
      <c r="K92" s="155"/>
      <c r="L92" s="155" t="s">
        <v>1195</v>
      </c>
      <c r="M92" s="156" t="s">
        <v>1196</v>
      </c>
      <c r="N92" s="155"/>
      <c r="O92" s="56"/>
    </row>
    <row r="93" spans="2:15" s="29" customFormat="1" x14ac:dyDescent="0.25">
      <c r="B93" s="135"/>
      <c r="C93" s="135"/>
      <c r="D93" s="80"/>
      <c r="E93" s="135"/>
      <c r="F93" s="135"/>
      <c r="G93" s="80"/>
      <c r="H93" s="80"/>
      <c r="I93" s="155"/>
      <c r="J93" s="155"/>
      <c r="K93" s="155"/>
      <c r="L93" s="155"/>
      <c r="M93" s="156"/>
      <c r="N93" s="155"/>
      <c r="O93" s="56"/>
    </row>
    <row r="94" spans="2:15" s="29" customFormat="1" x14ac:dyDescent="0.25">
      <c r="B94" s="135"/>
      <c r="C94" s="135"/>
      <c r="D94" s="80"/>
      <c r="E94" s="135"/>
      <c r="F94" s="135"/>
      <c r="G94" s="80"/>
      <c r="H94" s="80"/>
      <c r="I94" s="155"/>
      <c r="J94" s="155"/>
      <c r="K94" s="155"/>
      <c r="L94" s="155"/>
      <c r="M94" s="156"/>
      <c r="N94" s="155"/>
      <c r="O94" s="56"/>
    </row>
    <row r="95" spans="2:15" s="29" customFormat="1" x14ac:dyDescent="0.25">
      <c r="B95" s="86" t="s">
        <v>501</v>
      </c>
      <c r="C95" s="86" t="s">
        <v>152</v>
      </c>
      <c r="D95" s="56" t="s">
        <v>153</v>
      </c>
      <c r="E95" s="86" t="s">
        <v>154</v>
      </c>
      <c r="F95" s="86"/>
      <c r="G95" s="69" t="s">
        <v>1645</v>
      </c>
      <c r="H95" s="56" t="s">
        <v>491</v>
      </c>
      <c r="I95" s="111"/>
      <c r="J95" s="111"/>
      <c r="K95" s="111"/>
      <c r="L95" s="111"/>
      <c r="M95" s="111"/>
      <c r="N95" s="56"/>
      <c r="O95" s="56"/>
    </row>
    <row r="96" spans="2:15" s="29" customFormat="1" x14ac:dyDescent="0.25">
      <c r="B96" s="86" t="s">
        <v>501</v>
      </c>
      <c r="C96" s="86" t="s">
        <v>152</v>
      </c>
      <c r="D96" s="56" t="s">
        <v>194</v>
      </c>
      <c r="E96" s="86" t="s">
        <v>195</v>
      </c>
      <c r="F96" s="86"/>
      <c r="G96" s="69" t="s">
        <v>1645</v>
      </c>
      <c r="H96" s="56" t="s">
        <v>491</v>
      </c>
      <c r="I96" s="111"/>
      <c r="J96" s="111"/>
      <c r="K96" s="111"/>
      <c r="L96" s="111"/>
      <c r="M96" s="111"/>
      <c r="N96" s="56"/>
      <c r="O96" s="56"/>
    </row>
    <row r="97" spans="1:15" s="29" customFormat="1" x14ac:dyDescent="0.25">
      <c r="B97" s="86" t="s">
        <v>501</v>
      </c>
      <c r="C97" s="86" t="s">
        <v>152</v>
      </c>
      <c r="D97" s="56" t="s">
        <v>383</v>
      </c>
      <c r="E97" s="86" t="s">
        <v>384</v>
      </c>
      <c r="F97" s="86"/>
      <c r="G97" s="69" t="s">
        <v>1645</v>
      </c>
      <c r="H97" s="56"/>
      <c r="I97" s="111"/>
      <c r="J97" s="111"/>
      <c r="K97" s="111"/>
      <c r="L97" s="111"/>
      <c r="M97" s="111"/>
      <c r="N97" s="56"/>
      <c r="O97" s="56"/>
    </row>
    <row r="98" spans="1:15" s="29" customFormat="1" x14ac:dyDescent="0.25">
      <c r="B98" s="86"/>
      <c r="C98" s="86"/>
      <c r="D98" s="56"/>
      <c r="E98" s="86"/>
      <c r="F98" s="86"/>
      <c r="G98" s="56"/>
      <c r="H98" s="56"/>
      <c r="I98" s="111"/>
      <c r="J98" s="111"/>
      <c r="K98" s="111"/>
      <c r="L98" s="111"/>
      <c r="M98" s="111"/>
      <c r="N98" s="56"/>
      <c r="O98" s="56"/>
    </row>
    <row r="99" spans="1:15" s="29" customFormat="1" x14ac:dyDescent="0.25">
      <c r="B99" s="86"/>
      <c r="C99" s="86"/>
      <c r="D99" s="56"/>
      <c r="E99" s="86"/>
      <c r="F99" s="86"/>
      <c r="G99" s="56"/>
      <c r="H99" s="56"/>
      <c r="I99" s="111"/>
      <c r="J99" s="111"/>
      <c r="K99" s="111"/>
      <c r="L99" s="111"/>
      <c r="M99" s="111"/>
      <c r="N99" s="56"/>
      <c r="O99" s="56"/>
    </row>
    <row r="100" spans="1:15" s="29" customFormat="1" ht="16.5" thickBot="1" x14ac:dyDescent="0.3">
      <c r="B100" s="86"/>
      <c r="C100" s="86"/>
      <c r="D100" s="56"/>
      <c r="E100" s="86"/>
      <c r="F100" s="86"/>
      <c r="G100" s="56"/>
      <c r="H100" s="56"/>
      <c r="I100" s="111"/>
      <c r="J100" s="111"/>
      <c r="K100" s="111"/>
      <c r="L100" s="111"/>
      <c r="M100" s="111"/>
      <c r="N100" s="56"/>
      <c r="O100" s="56"/>
    </row>
    <row r="101" spans="1:15" s="29" customFormat="1" ht="16.5" thickTop="1" x14ac:dyDescent="0.25">
      <c r="B101" s="128"/>
      <c r="C101" s="128"/>
      <c r="D101" s="74"/>
      <c r="E101" s="128"/>
      <c r="F101" s="128"/>
      <c r="G101" s="74"/>
      <c r="H101" s="74"/>
      <c r="I101" s="153"/>
      <c r="J101" s="153"/>
      <c r="K101" s="153"/>
      <c r="L101" s="153"/>
      <c r="M101" s="153"/>
      <c r="N101" s="74"/>
      <c r="O101" s="56"/>
    </row>
    <row r="102" spans="1:15" s="29" customFormat="1" x14ac:dyDescent="0.25">
      <c r="A102" s="32"/>
      <c r="B102" s="135" t="s">
        <v>501</v>
      </c>
      <c r="C102" s="135" t="s">
        <v>481</v>
      </c>
      <c r="D102" s="80" t="s">
        <v>190</v>
      </c>
      <c r="E102" s="135" t="s">
        <v>191</v>
      </c>
      <c r="F102" s="135"/>
      <c r="G102" s="80">
        <v>0</v>
      </c>
      <c r="H102" s="80">
        <v>2017</v>
      </c>
      <c r="I102" s="155" t="s">
        <v>480</v>
      </c>
      <c r="J102" s="155" t="s">
        <v>1279</v>
      </c>
      <c r="K102" s="155" t="s">
        <v>508</v>
      </c>
      <c r="L102" s="155" t="s">
        <v>510</v>
      </c>
      <c r="M102" s="156"/>
      <c r="N102" s="155"/>
      <c r="O102" s="56"/>
    </row>
    <row r="103" spans="1:15" s="29" customFormat="1" x14ac:dyDescent="0.25">
      <c r="A103" s="32"/>
      <c r="B103" s="135"/>
      <c r="C103" s="135"/>
      <c r="D103" s="80"/>
      <c r="E103" s="135"/>
      <c r="F103" s="135"/>
      <c r="G103" s="80"/>
      <c r="H103" s="80"/>
      <c r="I103" s="155"/>
      <c r="J103" s="155"/>
      <c r="K103" s="155"/>
      <c r="L103" s="155"/>
      <c r="M103" s="156"/>
      <c r="N103" s="155"/>
      <c r="O103" s="56"/>
    </row>
    <row r="104" spans="1:15" s="29" customFormat="1" x14ac:dyDescent="0.25">
      <c r="A104" s="32"/>
      <c r="B104" s="135"/>
      <c r="C104" s="135"/>
      <c r="D104" s="80"/>
      <c r="E104" s="135"/>
      <c r="F104" s="135"/>
      <c r="G104" s="80"/>
      <c r="H104" s="80"/>
      <c r="I104" s="155"/>
      <c r="J104" s="155"/>
      <c r="K104" s="155"/>
      <c r="L104" s="155"/>
      <c r="M104" s="156"/>
      <c r="N104" s="155"/>
      <c r="O104" s="56"/>
    </row>
    <row r="105" spans="1:15" s="29" customFormat="1" x14ac:dyDescent="0.25">
      <c r="B105" s="86" t="s">
        <v>501</v>
      </c>
      <c r="C105" s="86" t="s">
        <v>481</v>
      </c>
      <c r="D105" s="56" t="s">
        <v>218</v>
      </c>
      <c r="E105" s="86" t="s">
        <v>219</v>
      </c>
      <c r="F105" s="86"/>
      <c r="G105" s="69" t="s">
        <v>1645</v>
      </c>
      <c r="H105" s="56"/>
      <c r="I105" s="111"/>
      <c r="J105" s="111"/>
      <c r="K105" s="111"/>
      <c r="L105" s="111"/>
      <c r="M105" s="111"/>
      <c r="N105" s="56"/>
      <c r="O105" s="56"/>
    </row>
    <row r="106" spans="1:15" s="29" customFormat="1" x14ac:dyDescent="0.25">
      <c r="B106" s="86" t="s">
        <v>501</v>
      </c>
      <c r="C106" s="86" t="s">
        <v>481</v>
      </c>
      <c r="D106" s="56" t="s">
        <v>188</v>
      </c>
      <c r="E106" s="86" t="s">
        <v>189</v>
      </c>
      <c r="F106" s="86"/>
      <c r="G106" s="69" t="s">
        <v>1645</v>
      </c>
      <c r="H106" s="56" t="s">
        <v>491</v>
      </c>
      <c r="I106" s="111"/>
      <c r="J106" s="111"/>
      <c r="K106" s="111"/>
      <c r="L106" s="111"/>
      <c r="M106" s="111"/>
      <c r="N106" s="56"/>
      <c r="O106" s="56"/>
    </row>
    <row r="107" spans="1:15" s="29" customFormat="1" x14ac:dyDescent="0.25">
      <c r="B107" s="86" t="s">
        <v>501</v>
      </c>
      <c r="C107" s="86" t="s">
        <v>481</v>
      </c>
      <c r="D107" s="56" t="s">
        <v>220</v>
      </c>
      <c r="E107" s="86" t="s">
        <v>221</v>
      </c>
      <c r="F107" s="86"/>
      <c r="G107" s="69" t="s">
        <v>1645</v>
      </c>
      <c r="H107" s="56"/>
      <c r="I107" s="111"/>
      <c r="J107" s="111"/>
      <c r="K107" s="111"/>
      <c r="L107" s="111"/>
      <c r="M107" s="111"/>
      <c r="N107" s="56"/>
      <c r="O107" s="56"/>
    </row>
    <row r="108" spans="1:15" s="29" customFormat="1" x14ac:dyDescent="0.25">
      <c r="B108" s="86" t="s">
        <v>501</v>
      </c>
      <c r="C108" s="86" t="s">
        <v>481</v>
      </c>
      <c r="D108" s="56" t="s">
        <v>192</v>
      </c>
      <c r="E108" s="86" t="s">
        <v>193</v>
      </c>
      <c r="F108" s="86"/>
      <c r="G108" s="69" t="s">
        <v>1645</v>
      </c>
      <c r="H108" s="56" t="s">
        <v>491</v>
      </c>
      <c r="I108" s="111"/>
      <c r="J108" s="111"/>
      <c r="K108" s="111"/>
      <c r="L108" s="111"/>
      <c r="M108" s="111"/>
      <c r="N108" s="56"/>
      <c r="O108" s="56"/>
    </row>
    <row r="109" spans="1:15" s="29" customFormat="1" x14ac:dyDescent="0.25">
      <c r="B109" s="86" t="s">
        <v>501</v>
      </c>
      <c r="C109" s="86" t="s">
        <v>481</v>
      </c>
      <c r="D109" s="56" t="s">
        <v>1626</v>
      </c>
      <c r="E109" s="56" t="s">
        <v>1625</v>
      </c>
      <c r="F109" s="86"/>
      <c r="G109" s="69" t="s">
        <v>1645</v>
      </c>
      <c r="H109" s="56"/>
      <c r="I109" s="111"/>
      <c r="J109" s="111"/>
      <c r="K109" s="111"/>
      <c r="L109" s="111"/>
      <c r="M109" s="111"/>
      <c r="N109" s="56"/>
      <c r="O109" s="56"/>
    </row>
    <row r="110" spans="1:15" s="29" customFormat="1" x14ac:dyDescent="0.25">
      <c r="B110" s="86" t="s">
        <v>501</v>
      </c>
      <c r="C110" s="86" t="s">
        <v>481</v>
      </c>
      <c r="D110" s="56" t="s">
        <v>222</v>
      </c>
      <c r="E110" s="86" t="s">
        <v>223</v>
      </c>
      <c r="F110" s="86"/>
      <c r="G110" s="69" t="s">
        <v>1645</v>
      </c>
      <c r="H110" s="56"/>
      <c r="I110" s="111"/>
      <c r="J110" s="111"/>
      <c r="K110" s="111"/>
      <c r="L110" s="111"/>
      <c r="M110" s="111"/>
      <c r="N110" s="56"/>
      <c r="O110" s="56"/>
    </row>
    <row r="111" spans="1:15" s="29" customFormat="1" x14ac:dyDescent="0.25">
      <c r="B111" s="86" t="s">
        <v>501</v>
      </c>
      <c r="C111" s="86" t="s">
        <v>481</v>
      </c>
      <c r="D111" s="56" t="s">
        <v>224</v>
      </c>
      <c r="E111" s="86" t="s">
        <v>225</v>
      </c>
      <c r="F111" s="86"/>
      <c r="G111" s="69" t="s">
        <v>1645</v>
      </c>
      <c r="H111" s="56"/>
      <c r="I111" s="111"/>
      <c r="J111" s="111"/>
      <c r="K111" s="111"/>
      <c r="L111" s="111"/>
      <c r="M111" s="111"/>
      <c r="N111" s="56"/>
      <c r="O111" s="56"/>
    </row>
    <row r="112" spans="1:15" s="29" customFormat="1" x14ac:dyDescent="0.25">
      <c r="B112" s="86" t="s">
        <v>501</v>
      </c>
      <c r="C112" s="86" t="s">
        <v>481</v>
      </c>
      <c r="D112" s="56" t="s">
        <v>226</v>
      </c>
      <c r="E112" s="86" t="s">
        <v>227</v>
      </c>
      <c r="F112" s="86"/>
      <c r="G112" s="69" t="s">
        <v>1645</v>
      </c>
      <c r="H112" s="56" t="s">
        <v>491</v>
      </c>
      <c r="I112" s="111"/>
      <c r="J112" s="111"/>
      <c r="K112" s="111"/>
      <c r="L112" s="111"/>
      <c r="M112" s="111"/>
      <c r="N112" s="56"/>
      <c r="O112" s="56"/>
    </row>
    <row r="113" spans="2:15" s="29" customFormat="1" x14ac:dyDescent="0.25">
      <c r="B113" s="86" t="s">
        <v>501</v>
      </c>
      <c r="C113" s="86" t="s">
        <v>481</v>
      </c>
      <c r="D113" s="56" t="s">
        <v>196</v>
      </c>
      <c r="E113" s="86" t="s">
        <v>197</v>
      </c>
      <c r="F113" s="86"/>
      <c r="G113" s="69" t="s">
        <v>1645</v>
      </c>
      <c r="H113" s="56" t="s">
        <v>491</v>
      </c>
      <c r="I113" s="111"/>
      <c r="J113" s="111"/>
      <c r="K113" s="111"/>
      <c r="L113" s="111"/>
      <c r="M113" s="111"/>
      <c r="N113" s="56"/>
      <c r="O113" s="56"/>
    </row>
    <row r="114" spans="2:15" s="29" customFormat="1" x14ac:dyDescent="0.25">
      <c r="B114" s="86" t="s">
        <v>501</v>
      </c>
      <c r="C114" s="86" t="s">
        <v>481</v>
      </c>
      <c r="D114" s="56" t="s">
        <v>198</v>
      </c>
      <c r="E114" s="86" t="s">
        <v>199</v>
      </c>
      <c r="F114" s="86"/>
      <c r="G114" s="69" t="s">
        <v>1645</v>
      </c>
      <c r="H114" s="56" t="s">
        <v>491</v>
      </c>
      <c r="I114" s="111"/>
      <c r="J114" s="111"/>
      <c r="K114" s="111"/>
      <c r="L114" s="111"/>
      <c r="M114" s="111"/>
      <c r="N114" s="56"/>
      <c r="O114" s="56"/>
    </row>
    <row r="115" spans="2:15" s="29" customFormat="1" x14ac:dyDescent="0.25">
      <c r="B115" s="86" t="s">
        <v>501</v>
      </c>
      <c r="C115" s="86" t="s">
        <v>481</v>
      </c>
      <c r="D115" s="56" t="s">
        <v>200</v>
      </c>
      <c r="E115" s="86" t="s">
        <v>201</v>
      </c>
      <c r="F115" s="86"/>
      <c r="G115" s="69" t="s">
        <v>1645</v>
      </c>
      <c r="H115" s="56" t="s">
        <v>491</v>
      </c>
      <c r="I115" s="111"/>
      <c r="J115" s="111"/>
      <c r="K115" s="111"/>
      <c r="L115" s="111"/>
      <c r="M115" s="111"/>
      <c r="N115" s="56"/>
      <c r="O115" s="56"/>
    </row>
    <row r="116" spans="2:15" s="29" customFormat="1" x14ac:dyDescent="0.25">
      <c r="B116" s="86" t="s">
        <v>501</v>
      </c>
      <c r="C116" s="86" t="s">
        <v>481</v>
      </c>
      <c r="D116" s="56" t="s">
        <v>228</v>
      </c>
      <c r="E116" s="86" t="s">
        <v>229</v>
      </c>
      <c r="F116" s="86"/>
      <c r="G116" s="69" t="s">
        <v>1645</v>
      </c>
      <c r="H116" s="56"/>
      <c r="I116" s="111"/>
      <c r="J116" s="111"/>
      <c r="K116" s="111"/>
      <c r="L116" s="111"/>
      <c r="M116" s="111"/>
      <c r="N116" s="56"/>
      <c r="O116" s="56"/>
    </row>
    <row r="117" spans="2:15" s="29" customFormat="1" x14ac:dyDescent="0.25">
      <c r="B117" s="86" t="s">
        <v>501</v>
      </c>
      <c r="C117" s="86" t="s">
        <v>481</v>
      </c>
      <c r="D117" s="56" t="s">
        <v>202</v>
      </c>
      <c r="E117" s="86" t="s">
        <v>203</v>
      </c>
      <c r="F117" s="86"/>
      <c r="G117" s="69" t="s">
        <v>1645</v>
      </c>
      <c r="H117" s="56" t="s">
        <v>491</v>
      </c>
      <c r="I117" s="111"/>
      <c r="J117" s="111"/>
      <c r="K117" s="111"/>
      <c r="L117" s="111"/>
      <c r="M117" s="111"/>
      <c r="N117" s="56"/>
      <c r="O117" s="56"/>
    </row>
    <row r="118" spans="2:15" s="29" customFormat="1" x14ac:dyDescent="0.25">
      <c r="B118" s="86" t="s">
        <v>501</v>
      </c>
      <c r="C118" s="86" t="s">
        <v>481</v>
      </c>
      <c r="D118" s="56" t="s">
        <v>204</v>
      </c>
      <c r="E118" s="86" t="s">
        <v>205</v>
      </c>
      <c r="F118" s="86"/>
      <c r="G118" s="69" t="s">
        <v>1645</v>
      </c>
      <c r="H118" s="56" t="s">
        <v>491</v>
      </c>
      <c r="I118" s="111"/>
      <c r="J118" s="111"/>
      <c r="K118" s="111"/>
      <c r="L118" s="111"/>
      <c r="M118" s="111"/>
      <c r="N118" s="56"/>
      <c r="O118" s="56"/>
    </row>
    <row r="119" spans="2:15" s="29" customFormat="1" x14ac:dyDescent="0.25">
      <c r="B119" s="86" t="s">
        <v>501</v>
      </c>
      <c r="C119" s="86" t="s">
        <v>481</v>
      </c>
      <c r="D119" s="56" t="s">
        <v>230</v>
      </c>
      <c r="E119" s="86" t="s">
        <v>231</v>
      </c>
      <c r="F119" s="86"/>
      <c r="G119" s="69" t="s">
        <v>1645</v>
      </c>
      <c r="H119" s="56"/>
      <c r="I119" s="111"/>
      <c r="J119" s="111"/>
      <c r="K119" s="111"/>
      <c r="L119" s="111"/>
      <c r="M119" s="111"/>
      <c r="N119" s="56"/>
      <c r="O119" s="56"/>
    </row>
    <row r="120" spans="2:15" s="29" customFormat="1" x14ac:dyDescent="0.25">
      <c r="B120" s="86" t="s">
        <v>501</v>
      </c>
      <c r="C120" s="86" t="s">
        <v>481</v>
      </c>
      <c r="D120" s="56" t="s">
        <v>232</v>
      </c>
      <c r="E120" s="86" t="s">
        <v>233</v>
      </c>
      <c r="F120" s="86"/>
      <c r="G120" s="69" t="s">
        <v>1645</v>
      </c>
      <c r="H120" s="56"/>
      <c r="I120" s="111"/>
      <c r="J120" s="111"/>
      <c r="K120" s="111"/>
      <c r="L120" s="111"/>
      <c r="M120" s="111"/>
      <c r="N120" s="56"/>
      <c r="O120" s="56"/>
    </row>
    <row r="121" spans="2:15" s="29" customFormat="1" x14ac:dyDescent="0.25">
      <c r="B121" s="86" t="s">
        <v>501</v>
      </c>
      <c r="C121" s="86" t="s">
        <v>481</v>
      </c>
      <c r="D121" s="56" t="s">
        <v>4</v>
      </c>
      <c r="E121" s="86" t="s">
        <v>2</v>
      </c>
      <c r="F121" s="86"/>
      <c r="G121" s="69" t="s">
        <v>1645</v>
      </c>
      <c r="H121" s="56"/>
      <c r="I121" s="111"/>
      <c r="J121" s="111"/>
      <c r="K121" s="111"/>
      <c r="L121" s="111"/>
      <c r="M121" s="111"/>
      <c r="N121" s="56"/>
      <c r="O121" s="56"/>
    </row>
    <row r="122" spans="2:15" s="29" customFormat="1" x14ac:dyDescent="0.25">
      <c r="B122" s="86" t="s">
        <v>501</v>
      </c>
      <c r="C122" s="86" t="s">
        <v>481</v>
      </c>
      <c r="D122" s="56" t="s">
        <v>5</v>
      </c>
      <c r="E122" s="86" t="s">
        <v>1011</v>
      </c>
      <c r="F122" s="86"/>
      <c r="G122" s="69" t="s">
        <v>1645</v>
      </c>
      <c r="H122" s="56"/>
      <c r="I122" s="111"/>
      <c r="J122" s="111"/>
      <c r="K122" s="111"/>
      <c r="L122" s="111"/>
      <c r="M122" s="111"/>
      <c r="N122" s="56"/>
      <c r="O122" s="56"/>
    </row>
    <row r="123" spans="2:15" s="29" customFormat="1" x14ac:dyDescent="0.25">
      <c r="B123" s="86" t="s">
        <v>501</v>
      </c>
      <c r="C123" s="86" t="s">
        <v>481</v>
      </c>
      <c r="D123" s="56" t="s">
        <v>206</v>
      </c>
      <c r="E123" s="86" t="s">
        <v>207</v>
      </c>
      <c r="F123" s="86"/>
      <c r="G123" s="69" t="s">
        <v>1645</v>
      </c>
      <c r="H123" s="56" t="s">
        <v>491</v>
      </c>
      <c r="I123" s="111"/>
      <c r="J123" s="111"/>
      <c r="K123" s="111"/>
      <c r="L123" s="111"/>
      <c r="M123" s="111"/>
      <c r="N123" s="56"/>
      <c r="O123" s="56"/>
    </row>
    <row r="124" spans="2:15" s="29" customFormat="1" x14ac:dyDescent="0.25">
      <c r="B124" s="86" t="s">
        <v>501</v>
      </c>
      <c r="C124" s="86" t="s">
        <v>481</v>
      </c>
      <c r="D124" s="56" t="s">
        <v>208</v>
      </c>
      <c r="E124" s="86" t="s">
        <v>209</v>
      </c>
      <c r="F124" s="86"/>
      <c r="G124" s="69" t="s">
        <v>1645</v>
      </c>
      <c r="H124" s="56" t="s">
        <v>491</v>
      </c>
      <c r="I124" s="111"/>
      <c r="J124" s="111"/>
      <c r="K124" s="111"/>
      <c r="L124" s="111"/>
      <c r="M124" s="111"/>
      <c r="N124" s="56"/>
      <c r="O124" s="56"/>
    </row>
    <row r="125" spans="2:15" s="29" customFormat="1" x14ac:dyDescent="0.25">
      <c r="B125" s="86" t="s">
        <v>501</v>
      </c>
      <c r="C125" s="86" t="s">
        <v>481</v>
      </c>
      <c r="D125" s="56" t="s">
        <v>210</v>
      </c>
      <c r="E125" s="86" t="s">
        <v>211</v>
      </c>
      <c r="F125" s="86"/>
      <c r="G125" s="69" t="s">
        <v>1645</v>
      </c>
      <c r="H125" s="56" t="s">
        <v>491</v>
      </c>
      <c r="I125" s="111"/>
      <c r="J125" s="111"/>
      <c r="K125" s="111"/>
      <c r="L125" s="111"/>
      <c r="M125" s="111"/>
      <c r="N125" s="56"/>
      <c r="O125" s="56"/>
    </row>
    <row r="126" spans="2:15" s="29" customFormat="1" x14ac:dyDescent="0.25">
      <c r="B126" s="86" t="s">
        <v>501</v>
      </c>
      <c r="C126" s="86" t="s">
        <v>481</v>
      </c>
      <c r="D126" s="56" t="s">
        <v>212</v>
      </c>
      <c r="E126" s="86" t="s">
        <v>213</v>
      </c>
      <c r="F126" s="86"/>
      <c r="G126" s="69" t="s">
        <v>1645</v>
      </c>
      <c r="H126" s="56" t="s">
        <v>491</v>
      </c>
      <c r="I126" s="111"/>
      <c r="J126" s="111"/>
      <c r="K126" s="111"/>
      <c r="L126" s="111"/>
      <c r="M126" s="111"/>
      <c r="N126" s="56"/>
      <c r="O126" s="56"/>
    </row>
    <row r="127" spans="2:15" s="29" customFormat="1" x14ac:dyDescent="0.25">
      <c r="B127" s="86" t="s">
        <v>501</v>
      </c>
      <c r="C127" s="86" t="s">
        <v>481</v>
      </c>
      <c r="D127" s="56" t="s">
        <v>214</v>
      </c>
      <c r="E127" s="86" t="s">
        <v>215</v>
      </c>
      <c r="F127" s="86"/>
      <c r="G127" s="69" t="s">
        <v>1645</v>
      </c>
      <c r="H127" s="56" t="s">
        <v>491</v>
      </c>
      <c r="I127" s="111"/>
      <c r="J127" s="111"/>
      <c r="K127" s="111"/>
      <c r="L127" s="111"/>
      <c r="M127" s="111"/>
      <c r="N127" s="56"/>
      <c r="O127" s="56"/>
    </row>
    <row r="128" spans="2:15" s="29" customFormat="1" x14ac:dyDescent="0.25">
      <c r="B128" s="86" t="s">
        <v>501</v>
      </c>
      <c r="C128" s="86" t="s">
        <v>481</v>
      </c>
      <c r="D128" s="56" t="s">
        <v>216</v>
      </c>
      <c r="E128" s="86" t="s">
        <v>217</v>
      </c>
      <c r="F128" s="86"/>
      <c r="G128" s="69" t="s">
        <v>1645</v>
      </c>
      <c r="H128" s="56"/>
      <c r="I128" s="111"/>
      <c r="J128" s="111"/>
      <c r="K128" s="111"/>
      <c r="L128" s="111"/>
      <c r="M128" s="111"/>
      <c r="N128" s="56"/>
      <c r="O128" s="56"/>
    </row>
    <row r="129" spans="1:15" s="29" customFormat="1" x14ac:dyDescent="0.25">
      <c r="B129" s="86" t="s">
        <v>501</v>
      </c>
      <c r="C129" s="86" t="s">
        <v>481</v>
      </c>
      <c r="D129" s="56" t="s">
        <v>234</v>
      </c>
      <c r="E129" s="86" t="s">
        <v>235</v>
      </c>
      <c r="F129" s="86"/>
      <c r="G129" s="69" t="s">
        <v>1645</v>
      </c>
      <c r="H129" s="56"/>
      <c r="I129" s="111"/>
      <c r="J129" s="111"/>
      <c r="K129" s="111"/>
      <c r="L129" s="111"/>
      <c r="M129" s="111"/>
      <c r="N129" s="56"/>
      <c r="O129" s="56"/>
    </row>
    <row r="130" spans="1:15" s="29" customFormat="1" x14ac:dyDescent="0.25">
      <c r="A130" s="32"/>
      <c r="B130" s="135"/>
      <c r="C130" s="135"/>
      <c r="D130" s="80"/>
      <c r="E130" s="135"/>
      <c r="F130" s="135"/>
      <c r="G130" s="80"/>
      <c r="H130" s="80"/>
      <c r="I130" s="155"/>
      <c r="J130" s="155"/>
      <c r="K130" s="155"/>
      <c r="L130" s="155"/>
      <c r="M130" s="156"/>
      <c r="N130" s="155"/>
      <c r="O130" s="56"/>
    </row>
    <row r="131" spans="1:15" s="29" customFormat="1" x14ac:dyDescent="0.25">
      <c r="B131" s="86"/>
      <c r="C131" s="86"/>
      <c r="D131" s="56"/>
      <c r="E131" s="86"/>
      <c r="F131" s="86"/>
      <c r="G131" s="56"/>
      <c r="H131" s="56"/>
      <c r="I131" s="111"/>
      <c r="J131" s="111"/>
      <c r="K131" s="111"/>
      <c r="L131" s="111"/>
      <c r="M131" s="111"/>
      <c r="N131" s="56"/>
      <c r="O131" s="56"/>
    </row>
    <row r="132" spans="1:15" s="29" customFormat="1" ht="16.5" thickBot="1" x14ac:dyDescent="0.3">
      <c r="B132" s="86"/>
      <c r="C132" s="86"/>
      <c r="D132" s="56"/>
      <c r="E132" s="86"/>
      <c r="F132" s="86"/>
      <c r="G132" s="56"/>
      <c r="H132" s="56"/>
      <c r="I132" s="111"/>
      <c r="J132" s="111"/>
      <c r="K132" s="111"/>
      <c r="L132" s="111"/>
      <c r="M132" s="111"/>
      <c r="N132" s="56"/>
      <c r="O132" s="56"/>
    </row>
    <row r="133" spans="1:15" s="29" customFormat="1" ht="16.5" thickTop="1" x14ac:dyDescent="0.25">
      <c r="B133" s="128"/>
      <c r="C133" s="128"/>
      <c r="D133" s="74"/>
      <c r="E133" s="128"/>
      <c r="F133" s="128"/>
      <c r="G133" s="74"/>
      <c r="H133" s="74"/>
      <c r="I133" s="153"/>
      <c r="J133" s="153"/>
      <c r="K133" s="153"/>
      <c r="L133" s="153"/>
      <c r="M133" s="153"/>
      <c r="N133" s="74"/>
      <c r="O133" s="56"/>
    </row>
    <row r="134" spans="1:15" s="29" customFormat="1" x14ac:dyDescent="0.25">
      <c r="B134" s="86" t="s">
        <v>501</v>
      </c>
      <c r="C134" s="86" t="s">
        <v>159</v>
      </c>
      <c r="D134" s="56" t="s">
        <v>160</v>
      </c>
      <c r="E134" s="86" t="s">
        <v>161</v>
      </c>
      <c r="F134" s="86"/>
      <c r="G134" s="56">
        <v>1.6</v>
      </c>
      <c r="H134" s="56">
        <v>2009</v>
      </c>
      <c r="I134" s="111" t="s">
        <v>480</v>
      </c>
      <c r="J134" s="111"/>
      <c r="K134" s="111"/>
      <c r="L134" s="111"/>
      <c r="M134" s="111"/>
      <c r="N134" s="56"/>
      <c r="O134" s="56"/>
    </row>
    <row r="135" spans="1:15" s="29" customFormat="1" x14ac:dyDescent="0.25">
      <c r="B135" s="86" t="s">
        <v>501</v>
      </c>
      <c r="C135" s="86" t="s">
        <v>159</v>
      </c>
      <c r="D135" s="56" t="s">
        <v>180</v>
      </c>
      <c r="E135" s="86" t="s">
        <v>181</v>
      </c>
      <c r="F135" s="86"/>
      <c r="G135" s="56">
        <v>19.5</v>
      </c>
      <c r="H135" s="56">
        <v>2003</v>
      </c>
      <c r="I135" s="111" t="s">
        <v>480</v>
      </c>
      <c r="J135" s="111" t="s">
        <v>25</v>
      </c>
      <c r="K135" s="111" t="s">
        <v>508</v>
      </c>
      <c r="L135" s="111" t="s">
        <v>529</v>
      </c>
      <c r="M135" s="111" t="s">
        <v>508</v>
      </c>
      <c r="N135" s="56"/>
      <c r="O135" s="56"/>
    </row>
    <row r="136" spans="1:15" s="29" customFormat="1" x14ac:dyDescent="0.25">
      <c r="B136" s="86"/>
      <c r="C136" s="86"/>
      <c r="D136" s="56"/>
      <c r="E136" s="86"/>
      <c r="F136" s="86"/>
      <c r="G136" s="56"/>
      <c r="H136" s="56"/>
      <c r="I136" s="111"/>
      <c r="J136" s="111"/>
      <c r="K136" s="111"/>
      <c r="L136" s="111"/>
      <c r="M136" s="111"/>
      <c r="N136" s="56"/>
      <c r="O136" s="56"/>
    </row>
    <row r="137" spans="1:15" s="29" customFormat="1" x14ac:dyDescent="0.25">
      <c r="B137" s="86"/>
      <c r="C137" s="86"/>
      <c r="D137" s="56"/>
      <c r="E137" s="86"/>
      <c r="F137" s="86"/>
      <c r="G137" s="56"/>
      <c r="H137" s="56"/>
      <c r="I137" s="111"/>
      <c r="J137" s="111"/>
      <c r="K137" s="111"/>
      <c r="L137" s="111"/>
      <c r="M137" s="111"/>
      <c r="N137" s="56"/>
      <c r="O137" s="56"/>
    </row>
    <row r="138" spans="1:15" s="29" customFormat="1" x14ac:dyDescent="0.25">
      <c r="B138" s="86" t="s">
        <v>501</v>
      </c>
      <c r="C138" s="86" t="s">
        <v>159</v>
      </c>
      <c r="D138" s="56" t="s">
        <v>162</v>
      </c>
      <c r="E138" s="86" t="s">
        <v>163</v>
      </c>
      <c r="F138" s="86"/>
      <c r="G138" s="69" t="s">
        <v>1645</v>
      </c>
      <c r="H138" s="56" t="s">
        <v>491</v>
      </c>
      <c r="I138" s="111"/>
      <c r="J138" s="111"/>
      <c r="K138" s="111"/>
      <c r="L138" s="111"/>
      <c r="M138" s="111"/>
      <c r="N138" s="56"/>
      <c r="O138" s="56"/>
    </row>
    <row r="139" spans="1:15" s="29" customFormat="1" x14ac:dyDescent="0.25">
      <c r="B139" s="86" t="s">
        <v>501</v>
      </c>
      <c r="C139" s="86" t="s">
        <v>159</v>
      </c>
      <c r="D139" s="56" t="s">
        <v>164</v>
      </c>
      <c r="E139" s="86" t="s">
        <v>165</v>
      </c>
      <c r="F139" s="86"/>
      <c r="G139" s="69" t="s">
        <v>1645</v>
      </c>
      <c r="H139" s="56"/>
      <c r="I139" s="111"/>
      <c r="J139" s="111"/>
      <c r="K139" s="111"/>
      <c r="L139" s="111"/>
      <c r="M139" s="111"/>
      <c r="N139" s="56"/>
      <c r="O139" s="56"/>
    </row>
    <row r="140" spans="1:15" s="29" customFormat="1" x14ac:dyDescent="0.25">
      <c r="B140" s="86" t="s">
        <v>501</v>
      </c>
      <c r="C140" s="86" t="s">
        <v>159</v>
      </c>
      <c r="D140" s="56" t="s">
        <v>166</v>
      </c>
      <c r="E140" s="86" t="s">
        <v>167</v>
      </c>
      <c r="F140" s="86"/>
      <c r="G140" s="69" t="s">
        <v>1645</v>
      </c>
      <c r="H140" s="56" t="s">
        <v>491</v>
      </c>
      <c r="I140" s="111"/>
      <c r="J140" s="111"/>
      <c r="K140" s="111"/>
      <c r="L140" s="111"/>
      <c r="M140" s="111"/>
      <c r="N140" s="56"/>
      <c r="O140" s="56"/>
    </row>
    <row r="141" spans="1:15" s="29" customFormat="1" x14ac:dyDescent="0.25">
      <c r="B141" s="86" t="s">
        <v>501</v>
      </c>
      <c r="C141" s="86" t="s">
        <v>159</v>
      </c>
      <c r="D141" s="56" t="s">
        <v>168</v>
      </c>
      <c r="E141" s="86" t="s">
        <v>169</v>
      </c>
      <c r="F141" s="86"/>
      <c r="G141" s="69" t="s">
        <v>1645</v>
      </c>
      <c r="H141" s="56" t="s">
        <v>491</v>
      </c>
      <c r="I141" s="111"/>
      <c r="J141" s="111"/>
      <c r="K141" s="111"/>
      <c r="L141" s="111"/>
      <c r="M141" s="111"/>
      <c r="N141" s="56"/>
      <c r="O141" s="56"/>
    </row>
    <row r="142" spans="1:15" s="29" customFormat="1" x14ac:dyDescent="0.25">
      <c r="B142" s="86" t="s">
        <v>501</v>
      </c>
      <c r="C142" s="86" t="s">
        <v>159</v>
      </c>
      <c r="D142" s="56" t="s">
        <v>170</v>
      </c>
      <c r="E142" s="86" t="s">
        <v>171</v>
      </c>
      <c r="F142" s="86"/>
      <c r="G142" s="69" t="s">
        <v>1645</v>
      </c>
      <c r="H142" s="56" t="s">
        <v>491</v>
      </c>
      <c r="I142" s="111"/>
      <c r="J142" s="111"/>
      <c r="K142" s="111"/>
      <c r="L142" s="111"/>
      <c r="M142" s="111"/>
      <c r="N142" s="56"/>
      <c r="O142" s="56"/>
    </row>
    <row r="143" spans="1:15" s="29" customFormat="1" x14ac:dyDescent="0.25">
      <c r="B143" s="86" t="s">
        <v>501</v>
      </c>
      <c r="C143" s="86" t="s">
        <v>159</v>
      </c>
      <c r="D143" s="56" t="s">
        <v>184</v>
      </c>
      <c r="E143" s="86" t="s">
        <v>185</v>
      </c>
      <c r="F143" s="86"/>
      <c r="G143" s="69" t="s">
        <v>1645</v>
      </c>
      <c r="H143" s="56"/>
      <c r="I143" s="111"/>
      <c r="J143" s="111"/>
      <c r="K143" s="111"/>
      <c r="L143" s="111"/>
      <c r="M143" s="111"/>
      <c r="N143" s="56"/>
      <c r="O143" s="56"/>
    </row>
    <row r="144" spans="1:15" s="29" customFormat="1" x14ac:dyDescent="0.25">
      <c r="B144" s="86" t="s">
        <v>501</v>
      </c>
      <c r="C144" s="86" t="s">
        <v>159</v>
      </c>
      <c r="D144" s="56" t="s">
        <v>186</v>
      </c>
      <c r="E144" s="86" t="s">
        <v>187</v>
      </c>
      <c r="F144" s="86"/>
      <c r="G144" s="69" t="s">
        <v>1645</v>
      </c>
      <c r="H144" s="56"/>
      <c r="I144" s="111"/>
      <c r="J144" s="111"/>
      <c r="K144" s="111"/>
      <c r="L144" s="111"/>
      <c r="M144" s="111"/>
      <c r="N144" s="56"/>
      <c r="O144" s="56"/>
    </row>
    <row r="145" spans="2:16" s="29" customFormat="1" x14ac:dyDescent="0.25">
      <c r="B145" s="86" t="s">
        <v>501</v>
      </c>
      <c r="C145" s="86" t="s">
        <v>159</v>
      </c>
      <c r="D145" s="56" t="s">
        <v>172</v>
      </c>
      <c r="E145" s="86" t="s">
        <v>173</v>
      </c>
      <c r="F145" s="86"/>
      <c r="G145" s="69" t="s">
        <v>1645</v>
      </c>
      <c r="H145" s="56" t="s">
        <v>491</v>
      </c>
      <c r="I145" s="111"/>
      <c r="J145" s="111"/>
      <c r="K145" s="111"/>
      <c r="L145" s="111"/>
      <c r="M145" s="111"/>
      <c r="N145" s="56"/>
      <c r="O145" s="56"/>
    </row>
    <row r="146" spans="2:16" s="29" customFormat="1" x14ac:dyDescent="0.25">
      <c r="B146" s="86" t="s">
        <v>501</v>
      </c>
      <c r="C146" s="86" t="s">
        <v>159</v>
      </c>
      <c r="D146" s="56" t="s">
        <v>174</v>
      </c>
      <c r="E146" s="86" t="s">
        <v>175</v>
      </c>
      <c r="F146" s="86"/>
      <c r="G146" s="69" t="s">
        <v>1645</v>
      </c>
      <c r="H146" s="56" t="s">
        <v>491</v>
      </c>
      <c r="I146" s="111"/>
      <c r="J146" s="111"/>
      <c r="K146" s="111"/>
      <c r="L146" s="111"/>
      <c r="M146" s="111"/>
      <c r="N146" s="56"/>
      <c r="O146" s="56"/>
    </row>
    <row r="147" spans="2:16" s="29" customFormat="1" x14ac:dyDescent="0.25">
      <c r="B147" s="86" t="s">
        <v>501</v>
      </c>
      <c r="C147" s="86" t="s">
        <v>159</v>
      </c>
      <c r="D147" s="56" t="s">
        <v>176</v>
      </c>
      <c r="E147" s="86" t="s">
        <v>177</v>
      </c>
      <c r="F147" s="86"/>
      <c r="G147" s="69" t="s">
        <v>1645</v>
      </c>
      <c r="H147" s="56" t="s">
        <v>491</v>
      </c>
      <c r="I147" s="111"/>
      <c r="J147" s="111"/>
      <c r="K147" s="111"/>
      <c r="L147" s="111"/>
      <c r="M147" s="111"/>
      <c r="N147" s="56"/>
      <c r="O147" s="56"/>
    </row>
    <row r="148" spans="2:16" s="29" customFormat="1" x14ac:dyDescent="0.25">
      <c r="B148" s="86" t="s">
        <v>501</v>
      </c>
      <c r="C148" s="86" t="s">
        <v>159</v>
      </c>
      <c r="D148" s="56" t="s">
        <v>178</v>
      </c>
      <c r="E148" s="86" t="s">
        <v>179</v>
      </c>
      <c r="F148" s="86"/>
      <c r="G148" s="69" t="s">
        <v>1645</v>
      </c>
      <c r="H148" s="56" t="s">
        <v>491</v>
      </c>
      <c r="I148" s="111"/>
      <c r="J148" s="111"/>
      <c r="K148" s="111"/>
      <c r="L148" s="111"/>
      <c r="M148" s="111"/>
      <c r="N148" s="56"/>
      <c r="O148" s="56"/>
    </row>
    <row r="149" spans="2:16" s="29" customFormat="1" x14ac:dyDescent="0.25">
      <c r="B149" s="86" t="s">
        <v>501</v>
      </c>
      <c r="C149" s="86" t="s">
        <v>159</v>
      </c>
      <c r="D149" s="56" t="s">
        <v>182</v>
      </c>
      <c r="E149" s="86" t="s">
        <v>183</v>
      </c>
      <c r="F149" s="86"/>
      <c r="G149" s="69" t="s">
        <v>1645</v>
      </c>
      <c r="H149" s="56" t="s">
        <v>491</v>
      </c>
      <c r="I149" s="111"/>
      <c r="J149" s="111"/>
      <c r="K149" s="111"/>
      <c r="L149" s="111"/>
      <c r="M149" s="111"/>
      <c r="N149" s="56"/>
      <c r="O149" s="56"/>
    </row>
    <row r="150" spans="2:16" s="29" customFormat="1" x14ac:dyDescent="0.25">
      <c r="B150" s="56"/>
      <c r="C150" s="56"/>
      <c r="D150" s="56"/>
      <c r="E150" s="56"/>
      <c r="F150" s="56"/>
      <c r="G150" s="56"/>
      <c r="H150" s="56"/>
      <c r="I150" s="56"/>
      <c r="J150" s="56"/>
      <c r="K150" s="56"/>
      <c r="L150" s="56"/>
      <c r="M150" s="56"/>
      <c r="N150" s="56"/>
      <c r="O150" s="56"/>
    </row>
    <row r="151" spans="2:16" s="29" customFormat="1" x14ac:dyDescent="0.25">
      <c r="B151" s="86"/>
      <c r="C151" s="86"/>
      <c r="D151" s="56"/>
      <c r="E151" s="86"/>
      <c r="F151" s="86"/>
      <c r="G151" s="56"/>
      <c r="H151" s="56"/>
      <c r="I151" s="111"/>
      <c r="J151" s="111"/>
      <c r="K151" s="111"/>
      <c r="L151" s="111"/>
      <c r="M151" s="111"/>
      <c r="N151" s="56"/>
      <c r="O151" s="56"/>
    </row>
    <row r="152" spans="2:16" s="29" customFormat="1" ht="16.5" thickBot="1" x14ac:dyDescent="0.3">
      <c r="B152" s="86"/>
      <c r="C152" s="86"/>
      <c r="D152" s="56"/>
      <c r="E152" s="86"/>
      <c r="F152" s="86"/>
      <c r="G152" s="56"/>
      <c r="H152" s="56"/>
      <c r="I152" s="111"/>
      <c r="J152" s="111"/>
      <c r="K152" s="111"/>
      <c r="L152" s="111"/>
      <c r="M152" s="111"/>
      <c r="N152" s="56"/>
      <c r="O152" s="56"/>
    </row>
    <row r="153" spans="2:16" s="29" customFormat="1" ht="16.5" thickTop="1" x14ac:dyDescent="0.25">
      <c r="B153" s="128"/>
      <c r="C153" s="128"/>
      <c r="D153" s="74"/>
      <c r="E153" s="128"/>
      <c r="F153" s="128"/>
      <c r="G153" s="74"/>
      <c r="H153" s="74"/>
      <c r="I153" s="153"/>
      <c r="J153" s="153"/>
      <c r="K153" s="153"/>
      <c r="L153" s="153"/>
      <c r="M153" s="153"/>
      <c r="N153" s="74"/>
      <c r="O153" s="56"/>
    </row>
    <row r="154" spans="2:16" s="29" customFormat="1" x14ac:dyDescent="0.25">
      <c r="B154" s="86" t="s">
        <v>501</v>
      </c>
      <c r="C154" s="80" t="s">
        <v>1643</v>
      </c>
      <c r="D154" s="56" t="s">
        <v>138</v>
      </c>
      <c r="E154" s="86" t="s">
        <v>139</v>
      </c>
      <c r="F154" s="86"/>
      <c r="G154" s="69" t="s">
        <v>1645</v>
      </c>
      <c r="H154" s="56" t="s">
        <v>491</v>
      </c>
      <c r="I154" s="111"/>
      <c r="J154" s="111"/>
      <c r="K154" s="111"/>
      <c r="L154" s="111"/>
      <c r="M154" s="111"/>
      <c r="N154" s="56"/>
      <c r="O154" s="56"/>
      <c r="P154" s="32"/>
    </row>
    <row r="155" spans="2:16" s="29" customFormat="1" x14ac:dyDescent="0.25">
      <c r="B155" s="86" t="s">
        <v>501</v>
      </c>
      <c r="C155" s="80" t="s">
        <v>1643</v>
      </c>
      <c r="D155" s="56" t="s">
        <v>140</v>
      </c>
      <c r="E155" s="86" t="s">
        <v>141</v>
      </c>
      <c r="F155" s="86"/>
      <c r="G155" s="69" t="s">
        <v>1645</v>
      </c>
      <c r="H155" s="56" t="s">
        <v>491</v>
      </c>
      <c r="I155" s="111"/>
      <c r="J155" s="111"/>
      <c r="K155" s="111"/>
      <c r="L155" s="111"/>
      <c r="M155" s="111"/>
      <c r="N155" s="56"/>
      <c r="O155" s="56"/>
      <c r="P155" s="32"/>
    </row>
    <row r="156" spans="2:16" s="29" customFormat="1" x14ac:dyDescent="0.25">
      <c r="B156" s="86" t="s">
        <v>501</v>
      </c>
      <c r="C156" s="80" t="s">
        <v>1643</v>
      </c>
      <c r="D156" s="56" t="s">
        <v>142</v>
      </c>
      <c r="E156" s="86" t="s">
        <v>143</v>
      </c>
      <c r="F156" s="86"/>
      <c r="G156" s="69" t="s">
        <v>1645</v>
      </c>
      <c r="H156" s="56" t="s">
        <v>491</v>
      </c>
      <c r="I156" s="111"/>
      <c r="J156" s="111"/>
      <c r="K156" s="111"/>
      <c r="L156" s="111"/>
      <c r="M156" s="111"/>
      <c r="N156" s="56"/>
      <c r="O156" s="56"/>
      <c r="P156" s="32"/>
    </row>
    <row r="157" spans="2:16" s="29" customFormat="1" x14ac:dyDescent="0.25">
      <c r="B157" s="86" t="s">
        <v>501</v>
      </c>
      <c r="C157" s="80" t="s">
        <v>1643</v>
      </c>
      <c r="D157" s="56" t="s">
        <v>144</v>
      </c>
      <c r="E157" s="86" t="s">
        <v>145</v>
      </c>
      <c r="F157" s="86"/>
      <c r="G157" s="69" t="s">
        <v>1645</v>
      </c>
      <c r="H157" s="56" t="s">
        <v>491</v>
      </c>
      <c r="I157" s="111"/>
      <c r="J157" s="111"/>
      <c r="K157" s="111"/>
      <c r="L157" s="111"/>
      <c r="M157" s="111"/>
      <c r="N157" s="56"/>
      <c r="O157" s="56"/>
      <c r="P157" s="32"/>
    </row>
    <row r="158" spans="2:16" s="29" customFormat="1" x14ac:dyDescent="0.25">
      <c r="B158" s="86" t="s">
        <v>501</v>
      </c>
      <c r="C158" s="80" t="s">
        <v>1643</v>
      </c>
      <c r="D158" s="56" t="s">
        <v>146</v>
      </c>
      <c r="E158" s="86" t="s">
        <v>147</v>
      </c>
      <c r="F158" s="86"/>
      <c r="G158" s="69" t="s">
        <v>1645</v>
      </c>
      <c r="H158" s="56" t="s">
        <v>491</v>
      </c>
      <c r="I158" s="111"/>
      <c r="J158" s="111"/>
      <c r="K158" s="111"/>
      <c r="L158" s="111"/>
      <c r="M158" s="111"/>
      <c r="N158" s="56"/>
      <c r="O158" s="56"/>
      <c r="P158" s="32"/>
    </row>
    <row r="159" spans="2:16" s="29" customFormat="1" x14ac:dyDescent="0.25">
      <c r="B159" s="86" t="s">
        <v>501</v>
      </c>
      <c r="C159" s="80" t="s">
        <v>1643</v>
      </c>
      <c r="D159" s="56" t="s">
        <v>148</v>
      </c>
      <c r="E159" s="86" t="s">
        <v>149</v>
      </c>
      <c r="F159" s="86"/>
      <c r="G159" s="69" t="s">
        <v>1645</v>
      </c>
      <c r="H159" s="56" t="s">
        <v>491</v>
      </c>
      <c r="I159" s="111"/>
      <c r="J159" s="111"/>
      <c r="K159" s="111"/>
      <c r="L159" s="111"/>
      <c r="M159" s="111"/>
      <c r="N159" s="56"/>
      <c r="O159" s="56"/>
      <c r="P159" s="32"/>
    </row>
    <row r="160" spans="2:16" s="29" customFormat="1" x14ac:dyDescent="0.25">
      <c r="B160" s="86" t="s">
        <v>501</v>
      </c>
      <c r="C160" s="80" t="s">
        <v>1643</v>
      </c>
      <c r="D160" s="56" t="s">
        <v>150</v>
      </c>
      <c r="E160" s="86" t="s">
        <v>151</v>
      </c>
      <c r="F160" s="86"/>
      <c r="G160" s="69" t="s">
        <v>1645</v>
      </c>
      <c r="H160" s="56" t="s">
        <v>491</v>
      </c>
      <c r="I160" s="111"/>
      <c r="J160" s="111"/>
      <c r="K160" s="111"/>
      <c r="L160" s="111"/>
      <c r="M160" s="111"/>
      <c r="N160" s="56"/>
      <c r="O160" s="56"/>
      <c r="P160" s="32"/>
    </row>
    <row r="161" spans="1:15" s="29" customFormat="1" x14ac:dyDescent="0.25">
      <c r="B161" s="56"/>
      <c r="C161" s="56"/>
      <c r="D161" s="56"/>
      <c r="E161" s="56"/>
      <c r="F161" s="56"/>
      <c r="G161" s="56"/>
      <c r="H161" s="56"/>
      <c r="I161" s="56"/>
      <c r="J161" s="56"/>
      <c r="K161" s="56"/>
      <c r="L161" s="56"/>
      <c r="M161" s="56"/>
      <c r="N161" s="56"/>
      <c r="O161" s="56"/>
    </row>
    <row r="162" spans="1:15" s="29" customFormat="1" x14ac:dyDescent="0.25">
      <c r="B162" s="86"/>
      <c r="C162" s="86"/>
      <c r="D162" s="56"/>
      <c r="E162" s="86"/>
      <c r="F162" s="86"/>
      <c r="G162" s="56"/>
      <c r="H162" s="56"/>
      <c r="I162" s="111"/>
      <c r="J162" s="111"/>
      <c r="K162" s="111"/>
      <c r="L162" s="111"/>
      <c r="M162" s="111"/>
      <c r="N162" s="56"/>
      <c r="O162" s="56"/>
    </row>
    <row r="163" spans="1:15" s="29" customFormat="1" x14ac:dyDescent="0.25">
      <c r="B163" s="86"/>
      <c r="C163" s="86"/>
      <c r="D163" s="56"/>
      <c r="E163" s="86"/>
      <c r="F163" s="86"/>
      <c r="G163" s="56"/>
      <c r="H163" s="56"/>
      <c r="I163" s="111"/>
      <c r="J163" s="111"/>
      <c r="K163" s="111"/>
      <c r="L163" s="111"/>
      <c r="M163" s="111"/>
      <c r="N163" s="56"/>
      <c r="O163" s="56"/>
    </row>
    <row r="164" spans="1:15" s="29" customFormat="1" ht="16.5" thickBot="1" x14ac:dyDescent="0.3">
      <c r="B164" s="86"/>
      <c r="C164" s="86"/>
      <c r="D164" s="56"/>
      <c r="E164" s="86"/>
      <c r="F164" s="86"/>
      <c r="G164" s="56"/>
      <c r="H164" s="56"/>
      <c r="I164" s="111"/>
      <c r="J164" s="111"/>
      <c r="K164" s="111"/>
      <c r="L164" s="111"/>
      <c r="M164" s="111"/>
      <c r="N164" s="56"/>
      <c r="O164" s="56"/>
    </row>
    <row r="165" spans="1:15" s="29" customFormat="1" ht="16.5" thickTop="1" x14ac:dyDescent="0.25">
      <c r="B165" s="128"/>
      <c r="C165" s="128"/>
      <c r="D165" s="74"/>
      <c r="E165" s="128"/>
      <c r="F165" s="128"/>
      <c r="G165" s="74"/>
      <c r="H165" s="74"/>
      <c r="I165" s="153"/>
      <c r="J165" s="153"/>
      <c r="K165" s="153"/>
      <c r="L165" s="153"/>
      <c r="M165" s="153"/>
      <c r="N165" s="74"/>
      <c r="O165" s="56"/>
    </row>
    <row r="166" spans="1:15" s="29" customFormat="1" x14ac:dyDescent="0.25">
      <c r="B166" s="86" t="s">
        <v>499</v>
      </c>
      <c r="C166" s="86" t="s">
        <v>237</v>
      </c>
      <c r="D166" s="56" t="s">
        <v>240</v>
      </c>
      <c r="E166" s="86" t="s">
        <v>241</v>
      </c>
      <c r="F166" s="86"/>
      <c r="G166" s="56">
        <v>9.8000000000000007</v>
      </c>
      <c r="H166" s="56">
        <v>2018</v>
      </c>
      <c r="I166" s="113" t="s">
        <v>514</v>
      </c>
      <c r="J166" s="113" t="s">
        <v>25</v>
      </c>
      <c r="K166" s="56"/>
      <c r="L166" s="113" t="s">
        <v>1507</v>
      </c>
      <c r="M166" s="111"/>
      <c r="N166" s="111" t="s">
        <v>508</v>
      </c>
      <c r="O166" s="56"/>
    </row>
    <row r="167" spans="1:15" s="29" customFormat="1" x14ac:dyDescent="0.25">
      <c r="B167" s="86" t="s">
        <v>499</v>
      </c>
      <c r="C167" s="86" t="s">
        <v>237</v>
      </c>
      <c r="D167" s="56" t="s">
        <v>242</v>
      </c>
      <c r="E167" s="86" t="s">
        <v>243</v>
      </c>
      <c r="F167" s="86"/>
      <c r="G167" s="56">
        <v>0.68</v>
      </c>
      <c r="H167" s="56">
        <v>2014</v>
      </c>
      <c r="I167" s="111" t="s">
        <v>480</v>
      </c>
      <c r="J167" s="111" t="s">
        <v>7</v>
      </c>
      <c r="K167" s="111" t="s">
        <v>508</v>
      </c>
      <c r="L167" s="111" t="s">
        <v>511</v>
      </c>
      <c r="M167" s="111" t="s">
        <v>574</v>
      </c>
      <c r="N167" s="111" t="s">
        <v>508</v>
      </c>
      <c r="O167" s="56"/>
    </row>
    <row r="168" spans="1:15" s="29" customFormat="1" x14ac:dyDescent="0.25">
      <c r="B168" s="86" t="s">
        <v>499</v>
      </c>
      <c r="C168" s="86" t="s">
        <v>237</v>
      </c>
      <c r="D168" s="56" t="s">
        <v>244</v>
      </c>
      <c r="E168" s="86" t="s">
        <v>245</v>
      </c>
      <c r="F168" s="86"/>
      <c r="G168" s="56">
        <v>7.9</v>
      </c>
      <c r="H168" s="56">
        <v>2011</v>
      </c>
      <c r="I168" s="111" t="s">
        <v>480</v>
      </c>
      <c r="J168" s="111"/>
      <c r="K168" s="111"/>
      <c r="L168" s="111"/>
      <c r="M168" s="111"/>
      <c r="N168" s="56"/>
      <c r="O168" s="56"/>
    </row>
    <row r="169" spans="1:15" s="29" customFormat="1" x14ac:dyDescent="0.25">
      <c r="A169" s="32"/>
      <c r="B169" s="86" t="s">
        <v>499</v>
      </c>
      <c r="C169" s="86" t="s">
        <v>237</v>
      </c>
      <c r="D169" s="56" t="s">
        <v>248</v>
      </c>
      <c r="E169" s="86" t="s">
        <v>249</v>
      </c>
      <c r="F169" s="86"/>
      <c r="G169" s="56">
        <v>11.3</v>
      </c>
      <c r="H169" s="56">
        <v>2017</v>
      </c>
      <c r="I169" s="111" t="s">
        <v>480</v>
      </c>
      <c r="J169" s="111" t="s">
        <v>684</v>
      </c>
      <c r="K169" s="111" t="s">
        <v>508</v>
      </c>
      <c r="L169" s="113" t="s">
        <v>1320</v>
      </c>
      <c r="M169" s="113" t="s">
        <v>508</v>
      </c>
      <c r="N169" s="111" t="s">
        <v>508</v>
      </c>
      <c r="O169" s="56"/>
    </row>
    <row r="170" spans="1:15" s="29" customFormat="1" x14ac:dyDescent="0.25">
      <c r="B170" s="86" t="s">
        <v>499</v>
      </c>
      <c r="C170" s="86" t="s">
        <v>237</v>
      </c>
      <c r="D170" s="56" t="s">
        <v>250</v>
      </c>
      <c r="E170" s="86" t="s">
        <v>251</v>
      </c>
      <c r="F170" s="86"/>
      <c r="G170" s="56">
        <v>1.96</v>
      </c>
      <c r="H170" s="56">
        <v>2011</v>
      </c>
      <c r="I170" s="111" t="s">
        <v>480</v>
      </c>
      <c r="J170" s="111" t="s">
        <v>7</v>
      </c>
      <c r="K170" s="111" t="s">
        <v>508</v>
      </c>
      <c r="L170" s="111"/>
      <c r="M170" s="111" t="s">
        <v>101</v>
      </c>
      <c r="N170" s="111" t="s">
        <v>508</v>
      </c>
      <c r="O170" s="56"/>
    </row>
    <row r="171" spans="1:15" s="29" customFormat="1" x14ac:dyDescent="0.25">
      <c r="B171" s="86" t="s">
        <v>499</v>
      </c>
      <c r="C171" s="86" t="s">
        <v>237</v>
      </c>
      <c r="D171" s="56" t="s">
        <v>252</v>
      </c>
      <c r="E171" s="86" t="s">
        <v>253</v>
      </c>
      <c r="F171" s="86"/>
      <c r="G171" s="56">
        <v>1.3</v>
      </c>
      <c r="H171" s="56">
        <v>2007</v>
      </c>
      <c r="I171" s="111" t="s">
        <v>480</v>
      </c>
      <c r="J171" s="111"/>
      <c r="K171" s="111"/>
      <c r="L171" s="111"/>
      <c r="M171" s="111"/>
      <c r="N171" s="56"/>
      <c r="O171" s="56"/>
    </row>
    <row r="172" spans="1:15" s="29" customFormat="1" x14ac:dyDescent="0.25">
      <c r="B172" s="86"/>
      <c r="C172" s="86"/>
      <c r="D172" s="56"/>
      <c r="E172" s="86"/>
      <c r="F172" s="86"/>
      <c r="G172" s="56"/>
      <c r="H172" s="56"/>
      <c r="I172" s="111"/>
      <c r="J172" s="111"/>
      <c r="K172" s="111"/>
      <c r="L172" s="111"/>
      <c r="M172" s="111"/>
      <c r="N172" s="56"/>
      <c r="O172" s="56"/>
    </row>
    <row r="173" spans="1:15" s="29" customFormat="1" x14ac:dyDescent="0.25">
      <c r="B173" s="86"/>
      <c r="C173" s="86"/>
      <c r="D173" s="56"/>
      <c r="E173" s="86"/>
      <c r="F173" s="86"/>
      <c r="G173" s="56"/>
      <c r="H173" s="56"/>
      <c r="I173" s="111"/>
      <c r="J173" s="111"/>
      <c r="K173" s="111"/>
      <c r="L173" s="111"/>
      <c r="M173" s="111"/>
      <c r="N173" s="56"/>
      <c r="O173" s="56"/>
    </row>
    <row r="174" spans="1:15" s="29" customFormat="1" x14ac:dyDescent="0.25">
      <c r="B174" s="86" t="s">
        <v>499</v>
      </c>
      <c r="C174" s="86" t="s">
        <v>237</v>
      </c>
      <c r="D174" s="56" t="s">
        <v>238</v>
      </c>
      <c r="E174" s="86" t="s">
        <v>239</v>
      </c>
      <c r="F174" s="86"/>
      <c r="G174" s="69" t="s">
        <v>1645</v>
      </c>
      <c r="H174" s="56" t="s">
        <v>491</v>
      </c>
      <c r="I174" s="111"/>
      <c r="J174" s="111"/>
      <c r="K174" s="111"/>
      <c r="L174" s="111"/>
      <c r="M174" s="111"/>
      <c r="N174" s="56"/>
      <c r="O174" s="56"/>
    </row>
    <row r="175" spans="1:15" s="29" customFormat="1" x14ac:dyDescent="0.25">
      <c r="B175" s="86" t="s">
        <v>499</v>
      </c>
      <c r="C175" s="86" t="s">
        <v>237</v>
      </c>
      <c r="D175" s="56" t="s">
        <v>246</v>
      </c>
      <c r="E175" s="86" t="s">
        <v>247</v>
      </c>
      <c r="F175" s="86"/>
      <c r="G175" s="69" t="s">
        <v>1645</v>
      </c>
      <c r="H175" s="56" t="s">
        <v>491</v>
      </c>
      <c r="I175" s="111"/>
      <c r="J175" s="111"/>
      <c r="K175" s="111"/>
      <c r="L175" s="111"/>
      <c r="M175" s="111"/>
      <c r="N175" s="56"/>
      <c r="O175" s="56"/>
    </row>
    <row r="176" spans="1:15" s="29" customFormat="1" x14ac:dyDescent="0.25">
      <c r="B176" s="86"/>
      <c r="C176" s="86"/>
      <c r="D176" s="56"/>
      <c r="E176" s="86"/>
      <c r="F176" s="86"/>
      <c r="G176" s="56"/>
      <c r="H176" s="56"/>
      <c r="I176" s="111"/>
      <c r="J176" s="111"/>
      <c r="K176" s="111"/>
      <c r="L176" s="111"/>
      <c r="M176" s="111"/>
      <c r="N176" s="56"/>
      <c r="O176" s="56"/>
    </row>
    <row r="177" spans="1:15" s="29" customFormat="1" x14ac:dyDescent="0.25">
      <c r="B177" s="86"/>
      <c r="C177" s="86"/>
      <c r="D177" s="56"/>
      <c r="E177" s="86"/>
      <c r="F177" s="86"/>
      <c r="G177" s="56"/>
      <c r="H177" s="56"/>
      <c r="I177" s="111"/>
      <c r="J177" s="111"/>
      <c r="K177" s="111"/>
      <c r="L177" s="111"/>
      <c r="M177" s="111"/>
      <c r="N177" s="56"/>
      <c r="O177" s="56"/>
    </row>
    <row r="178" spans="1:15" s="29" customFormat="1" ht="16.5" thickBot="1" x14ac:dyDescent="0.3">
      <c r="B178" s="86"/>
      <c r="C178" s="86"/>
      <c r="D178" s="56"/>
      <c r="E178" s="86"/>
      <c r="F178" s="86"/>
      <c r="G178" s="56"/>
      <c r="H178" s="56"/>
      <c r="I178" s="111"/>
      <c r="J178" s="111"/>
      <c r="K178" s="111"/>
      <c r="L178" s="111"/>
      <c r="M178" s="111"/>
      <c r="N178" s="56"/>
      <c r="O178" s="56"/>
    </row>
    <row r="179" spans="1:15" s="29" customFormat="1" ht="16.5" thickTop="1" x14ac:dyDescent="0.25">
      <c r="B179" s="128"/>
      <c r="C179" s="128"/>
      <c r="D179" s="74"/>
      <c r="E179" s="128"/>
      <c r="F179" s="128"/>
      <c r="G179" s="74"/>
      <c r="H179" s="74"/>
      <c r="I179" s="153"/>
      <c r="J179" s="153"/>
      <c r="K179" s="153"/>
      <c r="L179" s="153"/>
      <c r="M179" s="153"/>
      <c r="N179" s="74"/>
      <c r="O179" s="56"/>
    </row>
    <row r="180" spans="1:15" s="29" customFormat="1" x14ac:dyDescent="0.25">
      <c r="B180" s="86" t="s">
        <v>499</v>
      </c>
      <c r="C180" s="86" t="s">
        <v>254</v>
      </c>
      <c r="D180" s="56" t="s">
        <v>257</v>
      </c>
      <c r="E180" s="86" t="s">
        <v>258</v>
      </c>
      <c r="F180" s="86"/>
      <c r="G180" s="56">
        <v>10</v>
      </c>
      <c r="H180" s="56">
        <v>2009</v>
      </c>
      <c r="I180" s="111" t="s">
        <v>480</v>
      </c>
      <c r="J180" s="111"/>
      <c r="K180" s="111"/>
      <c r="L180" s="111"/>
      <c r="M180" s="111"/>
      <c r="N180" s="56"/>
      <c r="O180" s="56"/>
    </row>
    <row r="181" spans="1:15" s="29" customFormat="1" x14ac:dyDescent="0.25">
      <c r="B181" s="86" t="s">
        <v>499</v>
      </c>
      <c r="C181" s="86" t="s">
        <v>254</v>
      </c>
      <c r="D181" s="56" t="s">
        <v>259</v>
      </c>
      <c r="E181" s="86" t="s">
        <v>260</v>
      </c>
      <c r="F181" s="86"/>
      <c r="G181" s="56">
        <v>17</v>
      </c>
      <c r="H181" s="56">
        <v>2017</v>
      </c>
      <c r="I181" s="111" t="s">
        <v>480</v>
      </c>
      <c r="J181" s="111" t="s">
        <v>7</v>
      </c>
      <c r="K181" s="111" t="s">
        <v>508</v>
      </c>
      <c r="L181" s="111" t="s">
        <v>1264</v>
      </c>
      <c r="M181" s="111" t="s">
        <v>1263</v>
      </c>
      <c r="N181" s="56" t="s">
        <v>508</v>
      </c>
      <c r="O181" s="56"/>
    </row>
    <row r="182" spans="1:15" s="29" customFormat="1" x14ac:dyDescent="0.25">
      <c r="A182" s="32"/>
      <c r="B182" s="86" t="s">
        <v>499</v>
      </c>
      <c r="C182" s="86" t="s">
        <v>254</v>
      </c>
      <c r="D182" s="56" t="s">
        <v>274</v>
      </c>
      <c r="E182" s="86" t="s">
        <v>1009</v>
      </c>
      <c r="F182" s="86"/>
      <c r="G182" s="56">
        <v>8</v>
      </c>
      <c r="H182" s="56">
        <v>2013</v>
      </c>
      <c r="I182" s="111" t="s">
        <v>1543</v>
      </c>
      <c r="J182" s="111" t="s">
        <v>25</v>
      </c>
      <c r="K182" s="111" t="s">
        <v>508</v>
      </c>
      <c r="L182" s="111" t="s">
        <v>1541</v>
      </c>
      <c r="M182" s="111" t="s">
        <v>1544</v>
      </c>
      <c r="N182" s="111" t="s">
        <v>508</v>
      </c>
      <c r="O182" s="56"/>
    </row>
    <row r="183" spans="1:15" s="29" customFormat="1" x14ac:dyDescent="0.25">
      <c r="B183" s="86" t="s">
        <v>499</v>
      </c>
      <c r="C183" s="86" t="s">
        <v>254</v>
      </c>
      <c r="D183" s="56" t="s">
        <v>261</v>
      </c>
      <c r="E183" s="86" t="s">
        <v>262</v>
      </c>
      <c r="F183" s="86"/>
      <c r="G183" s="56">
        <v>6.7</v>
      </c>
      <c r="H183" s="56">
        <v>2014</v>
      </c>
      <c r="I183" s="111" t="s">
        <v>480</v>
      </c>
      <c r="J183" s="111" t="s">
        <v>25</v>
      </c>
      <c r="K183" s="111" t="s">
        <v>508</v>
      </c>
      <c r="L183" s="145" t="s">
        <v>603</v>
      </c>
      <c r="M183" s="145" t="s">
        <v>604</v>
      </c>
      <c r="N183" s="111" t="s">
        <v>508</v>
      </c>
      <c r="O183" s="56"/>
    </row>
    <row r="184" spans="1:15" s="29" customFormat="1" x14ac:dyDescent="0.25">
      <c r="A184" s="32"/>
      <c r="B184" s="86" t="s">
        <v>499</v>
      </c>
      <c r="C184" s="86" t="s">
        <v>254</v>
      </c>
      <c r="D184" s="56" t="s">
        <v>263</v>
      </c>
      <c r="E184" s="86" t="s">
        <v>264</v>
      </c>
      <c r="F184" s="86"/>
      <c r="G184" s="56">
        <v>8.6</v>
      </c>
      <c r="H184" s="56">
        <v>2017</v>
      </c>
      <c r="I184" s="111" t="s">
        <v>480</v>
      </c>
      <c r="J184" s="111" t="s">
        <v>7</v>
      </c>
      <c r="K184" s="111" t="s">
        <v>508</v>
      </c>
      <c r="L184" s="111" t="s">
        <v>1229</v>
      </c>
      <c r="M184" s="111" t="s">
        <v>1228</v>
      </c>
      <c r="N184" s="56" t="s">
        <v>508</v>
      </c>
      <c r="O184" s="56"/>
    </row>
    <row r="185" spans="1:15" s="29" customFormat="1" x14ac:dyDescent="0.25">
      <c r="A185" s="32"/>
      <c r="B185" s="86" t="s">
        <v>499</v>
      </c>
      <c r="C185" s="86" t="s">
        <v>254</v>
      </c>
      <c r="D185" s="56" t="s">
        <v>270</v>
      </c>
      <c r="E185" s="86" t="s">
        <v>271</v>
      </c>
      <c r="F185" s="86"/>
      <c r="G185" s="56">
        <v>7.7</v>
      </c>
      <c r="H185" s="56">
        <v>2017</v>
      </c>
      <c r="I185" s="111" t="s">
        <v>623</v>
      </c>
      <c r="J185" s="111" t="s">
        <v>649</v>
      </c>
      <c r="K185" s="111" t="s">
        <v>508</v>
      </c>
      <c r="L185" s="113" t="s">
        <v>1329</v>
      </c>
      <c r="M185" s="113" t="s">
        <v>1267</v>
      </c>
      <c r="N185" s="111" t="s">
        <v>508</v>
      </c>
      <c r="O185" s="56"/>
    </row>
    <row r="186" spans="1:15" s="29" customFormat="1" x14ac:dyDescent="0.25">
      <c r="A186" s="40"/>
      <c r="B186" s="86" t="s">
        <v>499</v>
      </c>
      <c r="C186" s="86" t="s">
        <v>254</v>
      </c>
      <c r="D186" s="56" t="s">
        <v>272</v>
      </c>
      <c r="E186" s="86" t="s">
        <v>273</v>
      </c>
      <c r="F186" s="86"/>
      <c r="G186" s="56">
        <v>7.77</v>
      </c>
      <c r="H186" s="56">
        <v>2015</v>
      </c>
      <c r="I186" s="111" t="s">
        <v>648</v>
      </c>
      <c r="J186" s="111" t="s">
        <v>649</v>
      </c>
      <c r="K186" s="111" t="s">
        <v>508</v>
      </c>
      <c r="L186" s="113" t="s">
        <v>650</v>
      </c>
      <c r="M186" s="113" t="s">
        <v>651</v>
      </c>
      <c r="N186" s="111" t="s">
        <v>508</v>
      </c>
      <c r="O186" s="56"/>
    </row>
    <row r="187" spans="1:15" s="29" customFormat="1" x14ac:dyDescent="0.25">
      <c r="A187" s="32"/>
      <c r="B187" s="86" t="s">
        <v>499</v>
      </c>
      <c r="C187" s="86" t="s">
        <v>254</v>
      </c>
      <c r="D187" s="56" t="s">
        <v>265</v>
      </c>
      <c r="E187" s="86" t="s">
        <v>496</v>
      </c>
      <c r="F187" s="86"/>
      <c r="G187" s="56">
        <v>6.6</v>
      </c>
      <c r="H187" s="78" t="s">
        <v>1167</v>
      </c>
      <c r="I187" s="111" t="s">
        <v>643</v>
      </c>
      <c r="J187" s="111" t="s">
        <v>25</v>
      </c>
      <c r="K187" s="111"/>
      <c r="L187" s="113" t="s">
        <v>1158</v>
      </c>
      <c r="M187" s="113" t="s">
        <v>1168</v>
      </c>
      <c r="N187" s="111" t="s">
        <v>508</v>
      </c>
      <c r="O187" s="56"/>
    </row>
    <row r="188" spans="1:15" s="29" customFormat="1" x14ac:dyDescent="0.25">
      <c r="A188" s="32"/>
      <c r="B188" s="86" t="s">
        <v>499</v>
      </c>
      <c r="C188" s="86" t="s">
        <v>254</v>
      </c>
      <c r="D188" s="56" t="s">
        <v>275</v>
      </c>
      <c r="E188" s="86" t="s">
        <v>276</v>
      </c>
      <c r="F188" s="86"/>
      <c r="G188" s="56">
        <v>13.9</v>
      </c>
      <c r="H188" s="56" t="s">
        <v>1472</v>
      </c>
      <c r="I188" s="111" t="s">
        <v>643</v>
      </c>
      <c r="J188" s="111" t="s">
        <v>25</v>
      </c>
      <c r="K188" s="111"/>
      <c r="L188" s="111" t="s">
        <v>1473</v>
      </c>
      <c r="M188" s="111" t="s">
        <v>1474</v>
      </c>
      <c r="N188" s="56"/>
      <c r="O188" s="56"/>
    </row>
    <row r="189" spans="1:15" s="29" customFormat="1" x14ac:dyDescent="0.25">
      <c r="A189" s="32"/>
      <c r="B189" s="86" t="s">
        <v>499</v>
      </c>
      <c r="C189" s="86" t="s">
        <v>254</v>
      </c>
      <c r="D189" s="56" t="s">
        <v>277</v>
      </c>
      <c r="E189" s="86" t="s">
        <v>278</v>
      </c>
      <c r="F189" s="86"/>
      <c r="G189" s="56">
        <v>14.1</v>
      </c>
      <c r="H189" s="78" t="s">
        <v>890</v>
      </c>
      <c r="I189" s="111" t="s">
        <v>643</v>
      </c>
      <c r="J189" s="111" t="s">
        <v>25</v>
      </c>
      <c r="K189" s="111" t="s">
        <v>508</v>
      </c>
      <c r="L189" s="113" t="s">
        <v>891</v>
      </c>
      <c r="M189" s="113" t="s">
        <v>892</v>
      </c>
      <c r="N189" s="111" t="s">
        <v>508</v>
      </c>
      <c r="O189" s="56"/>
    </row>
    <row r="190" spans="1:15" s="29" customFormat="1" x14ac:dyDescent="0.25">
      <c r="B190" s="86"/>
      <c r="C190" s="86"/>
      <c r="D190" s="56"/>
      <c r="E190" s="86"/>
      <c r="F190" s="86"/>
      <c r="G190" s="56"/>
      <c r="H190" s="56"/>
      <c r="I190" s="111"/>
      <c r="J190" s="111"/>
      <c r="K190" s="111"/>
      <c r="L190" s="111"/>
      <c r="M190" s="111"/>
      <c r="N190" s="56"/>
      <c r="O190" s="56"/>
    </row>
    <row r="191" spans="1:15" s="29" customFormat="1" x14ac:dyDescent="0.25">
      <c r="B191" s="86"/>
      <c r="C191" s="86"/>
      <c r="D191" s="56"/>
      <c r="E191" s="86"/>
      <c r="F191" s="86"/>
      <c r="G191" s="56"/>
      <c r="H191" s="56"/>
      <c r="I191" s="111"/>
      <c r="J191" s="111"/>
      <c r="K191" s="111"/>
      <c r="L191" s="111"/>
      <c r="M191" s="111"/>
      <c r="N191" s="56"/>
      <c r="O191" s="56"/>
    </row>
    <row r="192" spans="1:15" s="29" customFormat="1" x14ac:dyDescent="0.25">
      <c r="B192" s="86" t="s">
        <v>499</v>
      </c>
      <c r="C192" s="86" t="s">
        <v>254</v>
      </c>
      <c r="D192" s="56" t="s">
        <v>279</v>
      </c>
      <c r="E192" s="86" t="s">
        <v>280</v>
      </c>
      <c r="F192" s="86"/>
      <c r="G192" s="69" t="s">
        <v>1645</v>
      </c>
      <c r="H192" s="56" t="s">
        <v>491</v>
      </c>
      <c r="I192" s="111"/>
      <c r="J192" s="111"/>
      <c r="K192" s="111"/>
      <c r="L192" s="111"/>
      <c r="M192" s="111"/>
      <c r="N192" s="56"/>
      <c r="O192" s="56"/>
    </row>
    <row r="193" spans="2:15" s="29" customFormat="1" x14ac:dyDescent="0.25">
      <c r="B193" s="86" t="s">
        <v>499</v>
      </c>
      <c r="C193" s="86" t="s">
        <v>254</v>
      </c>
      <c r="D193" s="56" t="s">
        <v>255</v>
      </c>
      <c r="E193" s="86" t="s">
        <v>256</v>
      </c>
      <c r="F193" s="86"/>
      <c r="G193" s="69" t="s">
        <v>1645</v>
      </c>
      <c r="H193" s="56" t="s">
        <v>491</v>
      </c>
      <c r="I193" s="111"/>
      <c r="J193" s="111"/>
      <c r="K193" s="111"/>
      <c r="L193" s="111"/>
      <c r="M193" s="111"/>
      <c r="N193" s="56"/>
      <c r="O193" s="56"/>
    </row>
    <row r="194" spans="2:15" s="29" customFormat="1" x14ac:dyDescent="0.25">
      <c r="B194" s="86" t="s">
        <v>499</v>
      </c>
      <c r="C194" s="86" t="s">
        <v>254</v>
      </c>
      <c r="D194" s="56" t="s">
        <v>281</v>
      </c>
      <c r="E194" s="86" t="s">
        <v>282</v>
      </c>
      <c r="F194" s="86"/>
      <c r="G194" s="69" t="s">
        <v>1645</v>
      </c>
      <c r="H194" s="56" t="s">
        <v>491</v>
      </c>
      <c r="I194" s="111"/>
      <c r="J194" s="111"/>
      <c r="K194" s="111"/>
      <c r="L194" s="111"/>
      <c r="M194" s="111"/>
      <c r="N194" s="56"/>
      <c r="O194" s="56"/>
    </row>
    <row r="195" spans="2:15" s="29" customFormat="1" x14ac:dyDescent="0.25">
      <c r="B195" s="86" t="s">
        <v>499</v>
      </c>
      <c r="C195" s="86" t="s">
        <v>254</v>
      </c>
      <c r="D195" s="56" t="s">
        <v>283</v>
      </c>
      <c r="E195" s="86" t="s">
        <v>942</v>
      </c>
      <c r="F195" s="86"/>
      <c r="G195" s="69" t="s">
        <v>1645</v>
      </c>
      <c r="H195" s="56" t="s">
        <v>491</v>
      </c>
      <c r="I195" s="111"/>
      <c r="J195" s="111"/>
      <c r="K195" s="111"/>
      <c r="L195" s="111"/>
      <c r="M195" s="111"/>
      <c r="N195" s="56"/>
      <c r="O195" s="56"/>
    </row>
    <row r="196" spans="2:15" s="29" customFormat="1" x14ac:dyDescent="0.25">
      <c r="B196" s="86" t="s">
        <v>499</v>
      </c>
      <c r="C196" s="86" t="s">
        <v>254</v>
      </c>
      <c r="D196" s="56" t="s">
        <v>266</v>
      </c>
      <c r="E196" s="86" t="s">
        <v>267</v>
      </c>
      <c r="F196" s="86"/>
      <c r="G196" s="69" t="s">
        <v>1645</v>
      </c>
      <c r="H196" s="56" t="s">
        <v>491</v>
      </c>
      <c r="I196" s="111"/>
      <c r="J196" s="111"/>
      <c r="K196" s="111"/>
      <c r="L196" s="111"/>
      <c r="M196" s="111"/>
      <c r="N196" s="56"/>
      <c r="O196" s="56"/>
    </row>
    <row r="197" spans="2:15" s="29" customFormat="1" x14ac:dyDescent="0.25">
      <c r="B197" s="86" t="s">
        <v>499</v>
      </c>
      <c r="C197" s="86" t="s">
        <v>254</v>
      </c>
      <c r="D197" s="56" t="s">
        <v>268</v>
      </c>
      <c r="E197" s="86" t="s">
        <v>269</v>
      </c>
      <c r="F197" s="86"/>
      <c r="G197" s="69" t="s">
        <v>1645</v>
      </c>
      <c r="H197" s="56" t="s">
        <v>491</v>
      </c>
      <c r="I197" s="111"/>
      <c r="J197" s="111"/>
      <c r="K197" s="111"/>
      <c r="L197" s="111"/>
      <c r="M197" s="111"/>
      <c r="N197" s="56"/>
      <c r="O197" s="56"/>
    </row>
    <row r="198" spans="2:15" s="29" customFormat="1" x14ac:dyDescent="0.25">
      <c r="B198" s="86" t="s">
        <v>499</v>
      </c>
      <c r="C198" s="86" t="s">
        <v>254</v>
      </c>
      <c r="D198" s="56" t="s">
        <v>284</v>
      </c>
      <c r="E198" s="86" t="s">
        <v>285</v>
      </c>
      <c r="F198" s="86"/>
      <c r="G198" s="69" t="s">
        <v>1645</v>
      </c>
      <c r="H198" s="56" t="s">
        <v>491</v>
      </c>
      <c r="I198" s="111"/>
      <c r="J198" s="111"/>
      <c r="K198" s="111"/>
      <c r="L198" s="111"/>
      <c r="M198" s="111"/>
      <c r="N198" s="56"/>
      <c r="O198" s="56"/>
    </row>
    <row r="199" spans="2:15" s="29" customFormat="1" x14ac:dyDescent="0.25">
      <c r="B199" s="86" t="s">
        <v>499</v>
      </c>
      <c r="C199" s="86" t="s">
        <v>254</v>
      </c>
      <c r="D199" s="56" t="s">
        <v>286</v>
      </c>
      <c r="E199" s="86" t="s">
        <v>287</v>
      </c>
      <c r="F199" s="86"/>
      <c r="G199" s="69" t="s">
        <v>1645</v>
      </c>
      <c r="H199" s="56" t="s">
        <v>491</v>
      </c>
      <c r="I199" s="111"/>
      <c r="J199" s="111"/>
      <c r="K199" s="111"/>
      <c r="L199" s="111"/>
      <c r="M199" s="111"/>
      <c r="N199" s="56"/>
      <c r="O199" s="56"/>
    </row>
    <row r="200" spans="2:15" s="29" customFormat="1" x14ac:dyDescent="0.25">
      <c r="B200" s="86" t="s">
        <v>499</v>
      </c>
      <c r="C200" s="86" t="s">
        <v>254</v>
      </c>
      <c r="D200" s="56" t="s">
        <v>288</v>
      </c>
      <c r="E200" s="86" t="s">
        <v>289</v>
      </c>
      <c r="F200" s="86"/>
      <c r="G200" s="69" t="s">
        <v>1645</v>
      </c>
      <c r="H200" s="56" t="s">
        <v>491</v>
      </c>
      <c r="I200" s="111"/>
      <c r="J200" s="111"/>
      <c r="K200" s="111"/>
      <c r="L200" s="111"/>
      <c r="M200" s="111"/>
      <c r="N200" s="56"/>
      <c r="O200" s="56"/>
    </row>
    <row r="201" spans="2:15" s="29" customFormat="1" x14ac:dyDescent="0.25">
      <c r="B201" s="86"/>
      <c r="C201" s="86"/>
      <c r="D201" s="56"/>
      <c r="E201" s="86"/>
      <c r="F201" s="86"/>
      <c r="G201" s="56"/>
      <c r="H201" s="56"/>
      <c r="I201" s="111"/>
      <c r="J201" s="111"/>
      <c r="K201" s="111"/>
      <c r="L201" s="111"/>
      <c r="M201" s="111"/>
      <c r="N201" s="56"/>
      <c r="O201" s="56"/>
    </row>
    <row r="202" spans="2:15" s="29" customFormat="1" x14ac:dyDescent="0.25">
      <c r="B202" s="86"/>
      <c r="C202" s="86"/>
      <c r="D202" s="56"/>
      <c r="E202" s="86"/>
      <c r="F202" s="86"/>
      <c r="G202" s="56"/>
      <c r="H202" s="56"/>
      <c r="I202" s="111"/>
      <c r="J202" s="111"/>
      <c r="K202" s="111"/>
      <c r="L202" s="111"/>
      <c r="M202" s="111"/>
      <c r="N202" s="56"/>
      <c r="O202" s="56"/>
    </row>
    <row r="203" spans="2:15" s="29" customFormat="1" ht="16.5" thickBot="1" x14ac:dyDescent="0.3">
      <c r="B203" s="86"/>
      <c r="C203" s="86"/>
      <c r="D203" s="56"/>
      <c r="E203" s="86"/>
      <c r="F203" s="86"/>
      <c r="G203" s="45"/>
      <c r="H203" s="56"/>
      <c r="I203" s="111"/>
      <c r="J203" s="111"/>
      <c r="K203" s="111"/>
      <c r="L203" s="111"/>
      <c r="M203" s="111"/>
      <c r="N203" s="56"/>
      <c r="O203" s="56"/>
    </row>
    <row r="204" spans="2:15" s="29" customFormat="1" ht="16.5" thickTop="1" x14ac:dyDescent="0.25">
      <c r="B204" s="128"/>
      <c r="C204" s="128"/>
      <c r="D204" s="74"/>
      <c r="E204" s="128"/>
      <c r="F204" s="128"/>
      <c r="G204" s="74"/>
      <c r="H204" s="74"/>
      <c r="I204" s="153"/>
      <c r="J204" s="153"/>
      <c r="K204" s="153"/>
      <c r="L204" s="153"/>
      <c r="M204" s="153"/>
      <c r="N204" s="74"/>
      <c r="O204" s="56"/>
    </row>
    <row r="205" spans="2:15" s="29" customFormat="1" x14ac:dyDescent="0.25">
      <c r="B205" s="86" t="s">
        <v>499</v>
      </c>
      <c r="C205" s="86" t="s">
        <v>523</v>
      </c>
      <c r="D205" s="56" t="s">
        <v>290</v>
      </c>
      <c r="E205" s="86" t="s">
        <v>291</v>
      </c>
      <c r="F205" s="86"/>
      <c r="G205" s="102">
        <v>6.6</v>
      </c>
      <c r="H205" s="56">
        <v>2012</v>
      </c>
      <c r="I205" s="113" t="s">
        <v>19</v>
      </c>
      <c r="J205" s="113" t="s">
        <v>551</v>
      </c>
      <c r="K205" s="113" t="s">
        <v>508</v>
      </c>
      <c r="L205" s="113" t="s">
        <v>548</v>
      </c>
      <c r="M205" s="113" t="s">
        <v>549</v>
      </c>
      <c r="N205" s="113" t="s">
        <v>508</v>
      </c>
      <c r="O205" s="56"/>
    </row>
    <row r="206" spans="2:15" s="29" customFormat="1" x14ac:dyDescent="0.25">
      <c r="B206" s="86" t="s">
        <v>499</v>
      </c>
      <c r="C206" s="86" t="s">
        <v>523</v>
      </c>
      <c r="D206" s="56" t="s">
        <v>306</v>
      </c>
      <c r="E206" s="86" t="s">
        <v>307</v>
      </c>
      <c r="F206" s="86"/>
      <c r="G206" s="56">
        <v>3.6</v>
      </c>
      <c r="H206" s="78" t="s">
        <v>509</v>
      </c>
      <c r="I206" s="113" t="s">
        <v>19</v>
      </c>
      <c r="J206" s="113" t="s">
        <v>25</v>
      </c>
      <c r="K206" s="113" t="s">
        <v>508</v>
      </c>
      <c r="L206" s="113" t="s">
        <v>517</v>
      </c>
      <c r="M206" s="113" t="s">
        <v>518</v>
      </c>
      <c r="N206" s="113" t="s">
        <v>508</v>
      </c>
      <c r="O206" s="56"/>
    </row>
    <row r="207" spans="2:15" s="29" customFormat="1" x14ac:dyDescent="0.25">
      <c r="B207" s="86" t="s">
        <v>499</v>
      </c>
      <c r="C207" s="86" t="s">
        <v>523</v>
      </c>
      <c r="D207" s="56" t="s">
        <v>313</v>
      </c>
      <c r="E207" s="86" t="s">
        <v>314</v>
      </c>
      <c r="F207" s="86"/>
      <c r="G207" s="56">
        <v>27</v>
      </c>
      <c r="H207" s="78">
        <v>2007</v>
      </c>
      <c r="I207" s="113" t="s">
        <v>480</v>
      </c>
      <c r="J207" s="113"/>
      <c r="K207" s="113"/>
      <c r="L207" s="113" t="s">
        <v>575</v>
      </c>
      <c r="M207" s="113" t="s">
        <v>508</v>
      </c>
      <c r="N207" s="113" t="s">
        <v>508</v>
      </c>
      <c r="O207" s="56"/>
    </row>
    <row r="208" spans="2:15" s="29" customFormat="1" x14ac:dyDescent="0.25">
      <c r="B208" s="86"/>
      <c r="C208" s="86"/>
      <c r="D208" s="56"/>
      <c r="E208" s="86"/>
      <c r="F208" s="86"/>
      <c r="G208" s="56"/>
      <c r="H208" s="78"/>
      <c r="I208" s="113"/>
      <c r="J208" s="113"/>
      <c r="K208" s="113"/>
      <c r="L208" s="113"/>
      <c r="M208" s="113"/>
      <c r="N208" s="113"/>
      <c r="O208" s="56"/>
    </row>
    <row r="209" spans="1:15" s="29" customFormat="1" ht="16.5" thickBot="1" x14ac:dyDescent="0.3">
      <c r="B209" s="147"/>
      <c r="C209" s="147"/>
      <c r="D209" s="72"/>
      <c r="E209" s="147"/>
      <c r="F209" s="147"/>
      <c r="G209" s="72"/>
      <c r="H209" s="157"/>
      <c r="I209" s="149"/>
      <c r="J209" s="149"/>
      <c r="K209" s="149"/>
      <c r="L209" s="149"/>
      <c r="M209" s="149"/>
      <c r="N209" s="149"/>
      <c r="O209" s="56"/>
    </row>
    <row r="210" spans="1:15" s="29" customFormat="1" ht="16.5" thickTop="1" x14ac:dyDescent="0.25">
      <c r="B210" s="86"/>
      <c r="C210" s="86"/>
      <c r="D210" s="56"/>
      <c r="E210" s="86"/>
      <c r="F210" s="86"/>
      <c r="G210" s="56"/>
      <c r="H210" s="78"/>
      <c r="I210" s="113"/>
      <c r="J210" s="113"/>
      <c r="K210" s="113"/>
      <c r="L210" s="113"/>
      <c r="M210" s="113"/>
      <c r="N210" s="113"/>
      <c r="O210" s="56"/>
    </row>
    <row r="211" spans="1:15" s="29" customFormat="1" x14ac:dyDescent="0.25">
      <c r="B211" s="86" t="s">
        <v>499</v>
      </c>
      <c r="C211" s="86" t="s">
        <v>524</v>
      </c>
      <c r="D211" s="56" t="s">
        <v>292</v>
      </c>
      <c r="E211" s="86" t="s">
        <v>293</v>
      </c>
      <c r="F211" s="86"/>
      <c r="G211" s="56">
        <v>25.5</v>
      </c>
      <c r="H211" s="56">
        <v>2015</v>
      </c>
      <c r="I211" s="111" t="s">
        <v>480</v>
      </c>
      <c r="J211" s="111" t="s">
        <v>7</v>
      </c>
      <c r="K211" s="111" t="s">
        <v>508</v>
      </c>
      <c r="L211" s="111" t="s">
        <v>1271</v>
      </c>
      <c r="M211" s="111" t="s">
        <v>1270</v>
      </c>
      <c r="N211" s="111" t="s">
        <v>508</v>
      </c>
      <c r="O211" s="56"/>
    </row>
    <row r="212" spans="1:15" s="29" customFormat="1" x14ac:dyDescent="0.25">
      <c r="A212" s="32"/>
      <c r="B212" s="86" t="s">
        <v>499</v>
      </c>
      <c r="C212" s="86" t="s">
        <v>524</v>
      </c>
      <c r="D212" s="56" t="s">
        <v>304</v>
      </c>
      <c r="E212" s="86" t="s">
        <v>305</v>
      </c>
      <c r="F212" s="86"/>
      <c r="G212" s="56">
        <v>0</v>
      </c>
      <c r="H212" s="56">
        <v>2018</v>
      </c>
      <c r="I212" s="111" t="s">
        <v>528</v>
      </c>
      <c r="J212" s="111"/>
      <c r="K212" s="56"/>
      <c r="L212" s="111" t="s">
        <v>1470</v>
      </c>
      <c r="M212" s="111"/>
      <c r="N212" s="56"/>
      <c r="O212" s="56"/>
    </row>
    <row r="213" spans="1:15" s="29" customFormat="1" x14ac:dyDescent="0.25">
      <c r="A213" s="32"/>
      <c r="B213" s="86" t="s">
        <v>499</v>
      </c>
      <c r="C213" s="86" t="s">
        <v>524</v>
      </c>
      <c r="D213" s="56" t="s">
        <v>296</v>
      </c>
      <c r="E213" s="86" t="s">
        <v>297</v>
      </c>
      <c r="F213" s="86"/>
      <c r="G213" s="56">
        <v>0.38</v>
      </c>
      <c r="H213" s="56">
        <v>2017</v>
      </c>
      <c r="I213" s="113" t="s">
        <v>15</v>
      </c>
      <c r="J213" s="113" t="s">
        <v>1358</v>
      </c>
      <c r="K213" s="111"/>
      <c r="L213" s="113" t="s">
        <v>1374</v>
      </c>
      <c r="M213" s="113" t="s">
        <v>1375</v>
      </c>
      <c r="N213" s="56"/>
      <c r="O213" s="56"/>
    </row>
    <row r="214" spans="1:15" s="29" customFormat="1" x14ac:dyDescent="0.25">
      <c r="B214" s="86" t="s">
        <v>499</v>
      </c>
      <c r="C214" s="86" t="s">
        <v>524</v>
      </c>
      <c r="D214" s="56" t="s">
        <v>298</v>
      </c>
      <c r="E214" s="86" t="s">
        <v>299</v>
      </c>
      <c r="F214" s="86"/>
      <c r="G214" s="56">
        <v>2</v>
      </c>
      <c r="H214" s="78">
        <v>2015</v>
      </c>
      <c r="I214" s="111" t="s">
        <v>682</v>
      </c>
      <c r="J214" s="111" t="s">
        <v>587</v>
      </c>
      <c r="K214" s="111" t="s">
        <v>508</v>
      </c>
      <c r="L214" s="111" t="s">
        <v>681</v>
      </c>
      <c r="M214" s="111" t="s">
        <v>508</v>
      </c>
      <c r="N214" s="111" t="s">
        <v>508</v>
      </c>
      <c r="O214" s="56"/>
    </row>
    <row r="215" spans="1:15" s="29" customFormat="1" x14ac:dyDescent="0.25">
      <c r="B215" s="86" t="s">
        <v>499</v>
      </c>
      <c r="C215" s="86" t="s">
        <v>524</v>
      </c>
      <c r="D215" s="56" t="s">
        <v>310</v>
      </c>
      <c r="E215" s="86" t="s">
        <v>0</v>
      </c>
      <c r="F215" s="86"/>
      <c r="G215" s="56">
        <v>0.6</v>
      </c>
      <c r="H215" s="56">
        <v>2010</v>
      </c>
      <c r="I215" s="111" t="s">
        <v>15</v>
      </c>
      <c r="J215" s="111" t="s">
        <v>550</v>
      </c>
      <c r="K215" s="111" t="s">
        <v>508</v>
      </c>
      <c r="L215" s="111" t="s">
        <v>557</v>
      </c>
      <c r="M215" s="111" t="s">
        <v>558</v>
      </c>
      <c r="N215" s="111" t="s">
        <v>508</v>
      </c>
      <c r="O215" s="56"/>
    </row>
    <row r="216" spans="1:15" s="29" customFormat="1" x14ac:dyDescent="0.25">
      <c r="B216" s="86" t="s">
        <v>499</v>
      </c>
      <c r="C216" s="86" t="s">
        <v>524</v>
      </c>
      <c r="D216" s="56" t="s">
        <v>311</v>
      </c>
      <c r="E216" s="86" t="s">
        <v>312</v>
      </c>
      <c r="F216" s="86"/>
      <c r="G216" s="56">
        <v>4.82</v>
      </c>
      <c r="H216" s="56" t="s">
        <v>1021</v>
      </c>
      <c r="I216" s="111" t="s">
        <v>932</v>
      </c>
      <c r="J216" s="111" t="s">
        <v>1027</v>
      </c>
      <c r="K216" s="111" t="s">
        <v>508</v>
      </c>
      <c r="L216" s="111" t="s">
        <v>1025</v>
      </c>
      <c r="M216" s="111" t="s">
        <v>1026</v>
      </c>
      <c r="N216" s="56"/>
      <c r="O216" s="56"/>
    </row>
    <row r="217" spans="1:15" s="29" customFormat="1" x14ac:dyDescent="0.25">
      <c r="B217" s="86" t="s">
        <v>499</v>
      </c>
      <c r="C217" s="86" t="s">
        <v>524</v>
      </c>
      <c r="D217" s="56" t="s">
        <v>317</v>
      </c>
      <c r="E217" s="86" t="s">
        <v>318</v>
      </c>
      <c r="F217" s="86"/>
      <c r="G217" s="56">
        <v>0.5</v>
      </c>
      <c r="H217" s="56">
        <v>2014</v>
      </c>
      <c r="I217" s="111" t="s">
        <v>15</v>
      </c>
      <c r="J217" s="111" t="s">
        <v>587</v>
      </c>
      <c r="K217" s="111" t="s">
        <v>508</v>
      </c>
      <c r="L217" s="111" t="s">
        <v>636</v>
      </c>
      <c r="M217" s="111" t="s">
        <v>637</v>
      </c>
      <c r="N217" s="111" t="s">
        <v>508</v>
      </c>
      <c r="O217" s="56"/>
    </row>
    <row r="218" spans="1:15" s="29" customFormat="1" x14ac:dyDescent="0.25">
      <c r="B218" s="86"/>
      <c r="C218" s="86"/>
      <c r="D218" s="56"/>
      <c r="E218" s="86"/>
      <c r="F218" s="86"/>
      <c r="G218" s="56"/>
      <c r="H218" s="56"/>
      <c r="I218" s="111"/>
      <c r="J218" s="111"/>
      <c r="K218" s="111"/>
      <c r="L218" s="111"/>
      <c r="M218" s="111"/>
      <c r="N218" s="56"/>
      <c r="O218" s="56"/>
    </row>
    <row r="219" spans="1:15" s="29" customFormat="1" x14ac:dyDescent="0.25">
      <c r="B219" s="86"/>
      <c r="C219" s="86"/>
      <c r="D219" s="56"/>
      <c r="E219" s="86"/>
      <c r="F219" s="86"/>
      <c r="G219" s="56"/>
      <c r="H219" s="56"/>
      <c r="I219" s="111"/>
      <c r="J219" s="111"/>
      <c r="K219" s="111"/>
      <c r="L219" s="111"/>
      <c r="M219" s="111"/>
      <c r="N219" s="56"/>
      <c r="O219" s="56"/>
    </row>
    <row r="220" spans="1:15" s="29" customFormat="1" x14ac:dyDescent="0.25">
      <c r="B220" s="86" t="s">
        <v>499</v>
      </c>
      <c r="C220" s="86" t="s">
        <v>524</v>
      </c>
      <c r="D220" s="56" t="s">
        <v>308</v>
      </c>
      <c r="E220" s="86" t="s">
        <v>309</v>
      </c>
      <c r="F220" s="86"/>
      <c r="G220" s="69" t="s">
        <v>1645</v>
      </c>
      <c r="H220" s="56" t="s">
        <v>491</v>
      </c>
      <c r="I220" s="111"/>
      <c r="J220" s="111"/>
      <c r="K220" s="111"/>
      <c r="L220" s="111"/>
      <c r="M220" s="111"/>
      <c r="N220" s="56"/>
      <c r="O220" s="56"/>
    </row>
    <row r="221" spans="1:15" s="29" customFormat="1" x14ac:dyDescent="0.25">
      <c r="B221" s="86" t="s">
        <v>499</v>
      </c>
      <c r="C221" s="86" t="s">
        <v>524</v>
      </c>
      <c r="D221" s="56" t="s">
        <v>294</v>
      </c>
      <c r="E221" s="86" t="s">
        <v>295</v>
      </c>
      <c r="F221" s="86"/>
      <c r="G221" s="69" t="s">
        <v>1645</v>
      </c>
      <c r="H221" s="56" t="s">
        <v>491</v>
      </c>
      <c r="I221" s="111"/>
      <c r="J221" s="111"/>
      <c r="K221" s="111"/>
      <c r="L221" s="111"/>
      <c r="M221" s="111"/>
      <c r="N221" s="56"/>
      <c r="O221" s="56"/>
    </row>
    <row r="222" spans="1:15" s="29" customFormat="1" x14ac:dyDescent="0.25">
      <c r="B222" s="86" t="s">
        <v>499</v>
      </c>
      <c r="C222" s="86" t="s">
        <v>524</v>
      </c>
      <c r="D222" s="56" t="s">
        <v>315</v>
      </c>
      <c r="E222" s="86" t="s">
        <v>316</v>
      </c>
      <c r="F222" s="86"/>
      <c r="G222" s="69" t="s">
        <v>1645</v>
      </c>
      <c r="H222" s="56" t="s">
        <v>491</v>
      </c>
      <c r="I222" s="111"/>
      <c r="J222" s="111"/>
      <c r="K222" s="111"/>
      <c r="L222" s="111"/>
      <c r="M222" s="111"/>
      <c r="N222" s="56"/>
      <c r="O222" s="56"/>
    </row>
    <row r="223" spans="1:15" s="29" customFormat="1" x14ac:dyDescent="0.25">
      <c r="B223" s="86" t="s">
        <v>499</v>
      </c>
      <c r="C223" s="86" t="s">
        <v>524</v>
      </c>
      <c r="D223" s="56" t="s">
        <v>300</v>
      </c>
      <c r="E223" s="86" t="s">
        <v>301</v>
      </c>
      <c r="F223" s="86"/>
      <c r="G223" s="69" t="s">
        <v>1645</v>
      </c>
      <c r="H223" s="56" t="s">
        <v>491</v>
      </c>
      <c r="I223" s="111"/>
      <c r="J223" s="111"/>
      <c r="K223" s="111"/>
      <c r="L223" s="111"/>
      <c r="M223" s="111"/>
      <c r="N223" s="56"/>
      <c r="O223" s="56"/>
    </row>
    <row r="224" spans="1:15" s="29" customFormat="1" x14ac:dyDescent="0.25">
      <c r="B224" s="86" t="s">
        <v>499</v>
      </c>
      <c r="C224" s="86" t="s">
        <v>524</v>
      </c>
      <c r="D224" s="56" t="s">
        <v>302</v>
      </c>
      <c r="E224" s="86" t="s">
        <v>303</v>
      </c>
      <c r="F224" s="86"/>
      <c r="G224" s="69" t="s">
        <v>1645</v>
      </c>
      <c r="H224" s="56" t="s">
        <v>491</v>
      </c>
      <c r="I224" s="111"/>
      <c r="J224" s="111"/>
      <c r="K224" s="111"/>
      <c r="L224" s="111"/>
      <c r="M224" s="111"/>
      <c r="N224" s="56"/>
      <c r="O224" s="56"/>
    </row>
    <row r="225" spans="1:15" s="29" customFormat="1" x14ac:dyDescent="0.25">
      <c r="B225" s="86" t="s">
        <v>499</v>
      </c>
      <c r="C225" s="86" t="s">
        <v>524</v>
      </c>
      <c r="D225" s="56" t="s">
        <v>319</v>
      </c>
      <c r="E225" s="86" t="s">
        <v>320</v>
      </c>
      <c r="F225" s="86"/>
      <c r="G225" s="69" t="s">
        <v>1645</v>
      </c>
      <c r="H225" s="56" t="s">
        <v>491</v>
      </c>
      <c r="I225" s="111"/>
      <c r="J225" s="111"/>
      <c r="K225" s="111"/>
      <c r="L225" s="111"/>
      <c r="M225" s="111"/>
      <c r="N225" s="56"/>
      <c r="O225" s="56"/>
    </row>
    <row r="226" spans="1:15" s="29" customFormat="1" x14ac:dyDescent="0.25">
      <c r="B226" s="86"/>
      <c r="C226" s="86"/>
      <c r="D226" s="56"/>
      <c r="E226" s="86"/>
      <c r="F226" s="86"/>
      <c r="G226" s="56"/>
      <c r="H226" s="56"/>
      <c r="I226" s="111"/>
      <c r="J226" s="111"/>
      <c r="K226" s="111"/>
      <c r="L226" s="111"/>
      <c r="M226" s="111"/>
      <c r="N226" s="56"/>
      <c r="O226" s="56"/>
    </row>
    <row r="227" spans="1:15" s="29" customFormat="1" x14ac:dyDescent="0.25">
      <c r="B227" s="86"/>
      <c r="C227" s="86"/>
      <c r="D227" s="56"/>
      <c r="E227" s="86"/>
      <c r="F227" s="86"/>
      <c r="G227" s="47"/>
      <c r="H227" s="56"/>
      <c r="I227" s="111"/>
      <c r="J227" s="111"/>
      <c r="K227" s="111"/>
      <c r="L227" s="111"/>
      <c r="M227" s="111"/>
      <c r="N227" s="56"/>
      <c r="O227" s="56"/>
    </row>
    <row r="228" spans="1:15" s="29" customFormat="1" ht="16.5" thickBot="1" x14ac:dyDescent="0.3">
      <c r="B228" s="86"/>
      <c r="C228" s="86"/>
      <c r="D228" s="56"/>
      <c r="E228" s="86"/>
      <c r="F228" s="86"/>
      <c r="G228" s="56"/>
      <c r="H228" s="56"/>
      <c r="I228" s="111"/>
      <c r="J228" s="111"/>
      <c r="K228" s="111"/>
      <c r="L228" s="111"/>
      <c r="M228" s="111"/>
      <c r="N228" s="56"/>
      <c r="O228" s="56"/>
    </row>
    <row r="229" spans="1:15" s="29" customFormat="1" ht="16.5" thickTop="1" x14ac:dyDescent="0.25">
      <c r="B229" s="128"/>
      <c r="C229" s="128"/>
      <c r="D229" s="74"/>
      <c r="E229" s="128"/>
      <c r="F229" s="128"/>
      <c r="G229" s="74"/>
      <c r="H229" s="74"/>
      <c r="I229" s="153"/>
      <c r="J229" s="153"/>
      <c r="K229" s="153"/>
      <c r="L229" s="153"/>
      <c r="M229" s="153"/>
      <c r="N229" s="74"/>
      <c r="O229" s="56"/>
    </row>
    <row r="230" spans="1:15" s="29" customFormat="1" x14ac:dyDescent="0.25">
      <c r="B230" s="86" t="s">
        <v>499</v>
      </c>
      <c r="C230" s="56" t="s">
        <v>321</v>
      </c>
      <c r="D230" s="56" t="s">
        <v>322</v>
      </c>
      <c r="E230" s="86" t="s">
        <v>323</v>
      </c>
      <c r="F230" s="86"/>
      <c r="G230" s="56">
        <v>9.4</v>
      </c>
      <c r="H230" s="56">
        <v>2008</v>
      </c>
      <c r="I230" s="111" t="s">
        <v>480</v>
      </c>
      <c r="J230" s="111"/>
      <c r="K230" s="111"/>
      <c r="L230" s="111" t="s">
        <v>576</v>
      </c>
      <c r="M230" s="111" t="s">
        <v>577</v>
      </c>
      <c r="N230" s="111" t="s">
        <v>508</v>
      </c>
      <c r="O230" s="56"/>
    </row>
    <row r="231" spans="1:15" s="29" customFormat="1" x14ac:dyDescent="0.25">
      <c r="B231" s="86" t="s">
        <v>499</v>
      </c>
      <c r="C231" s="56" t="s">
        <v>321</v>
      </c>
      <c r="D231" s="56" t="s">
        <v>326</v>
      </c>
      <c r="E231" s="86" t="s">
        <v>327</v>
      </c>
      <c r="F231" s="86"/>
      <c r="G231" s="56">
        <v>10.199999999999999</v>
      </c>
      <c r="H231" s="56">
        <v>2008</v>
      </c>
      <c r="I231" s="111" t="s">
        <v>480</v>
      </c>
      <c r="J231" s="111"/>
      <c r="K231" s="111"/>
      <c r="L231" s="111"/>
      <c r="M231" s="111"/>
      <c r="N231" s="56"/>
      <c r="O231" s="56"/>
    </row>
    <row r="232" spans="1:15" s="29" customFormat="1" x14ac:dyDescent="0.25">
      <c r="B232" s="86" t="s">
        <v>499</v>
      </c>
      <c r="C232" s="56" t="s">
        <v>321</v>
      </c>
      <c r="D232" s="56" t="s">
        <v>328</v>
      </c>
      <c r="E232" s="86" t="s">
        <v>329</v>
      </c>
      <c r="F232" s="86"/>
      <c r="G232" s="56">
        <v>0.8</v>
      </c>
      <c r="H232" s="56">
        <v>2008</v>
      </c>
      <c r="I232" s="111" t="s">
        <v>480</v>
      </c>
      <c r="J232" s="111"/>
      <c r="K232" s="111"/>
      <c r="L232" s="111"/>
      <c r="M232" s="111"/>
      <c r="N232" s="56"/>
      <c r="O232" s="56"/>
    </row>
    <row r="233" spans="1:15" s="29" customFormat="1" x14ac:dyDescent="0.25">
      <c r="A233" s="32"/>
      <c r="B233" s="86" t="s">
        <v>499</v>
      </c>
      <c r="C233" s="56" t="s">
        <v>321</v>
      </c>
      <c r="D233" s="56" t="s">
        <v>332</v>
      </c>
      <c r="E233" s="86" t="s">
        <v>333</v>
      </c>
      <c r="F233" s="86"/>
      <c r="G233" s="56">
        <f>AVERAGE(0,2.7)</f>
        <v>1.35</v>
      </c>
      <c r="H233" s="78" t="s">
        <v>996</v>
      </c>
      <c r="I233" s="111" t="s">
        <v>641</v>
      </c>
      <c r="J233" s="111" t="s">
        <v>640</v>
      </c>
      <c r="K233" s="111" t="s">
        <v>508</v>
      </c>
      <c r="L233" s="111" t="s">
        <v>993</v>
      </c>
      <c r="M233" s="111" t="s">
        <v>995</v>
      </c>
      <c r="N233" s="111" t="s">
        <v>508</v>
      </c>
      <c r="O233" s="56"/>
    </row>
    <row r="234" spans="1:15" s="29" customFormat="1" x14ac:dyDescent="0.25">
      <c r="A234" s="32"/>
      <c r="B234" s="86" t="s">
        <v>499</v>
      </c>
      <c r="C234" s="56" t="s">
        <v>321</v>
      </c>
      <c r="D234" s="56" t="s">
        <v>330</v>
      </c>
      <c r="E234" s="86" t="s">
        <v>331</v>
      </c>
      <c r="F234" s="86"/>
      <c r="G234" s="56">
        <v>0.1</v>
      </c>
      <c r="H234" s="56">
        <v>2018</v>
      </c>
      <c r="I234" s="111" t="s">
        <v>633</v>
      </c>
      <c r="J234" s="111" t="s">
        <v>595</v>
      </c>
      <c r="K234" s="111" t="s">
        <v>508</v>
      </c>
      <c r="L234" s="111" t="s">
        <v>1247</v>
      </c>
      <c r="M234" s="111" t="s">
        <v>1251</v>
      </c>
      <c r="N234" s="111" t="s">
        <v>508</v>
      </c>
      <c r="O234" s="56"/>
    </row>
    <row r="235" spans="1:15" s="29" customFormat="1" x14ac:dyDescent="0.25">
      <c r="B235" s="86"/>
      <c r="C235" s="86"/>
      <c r="D235" s="56"/>
      <c r="E235" s="86"/>
      <c r="F235" s="86"/>
      <c r="G235" s="56"/>
      <c r="H235" s="56"/>
      <c r="I235" s="111"/>
      <c r="J235" s="111"/>
      <c r="K235" s="111"/>
      <c r="L235" s="111"/>
      <c r="M235" s="111"/>
      <c r="N235" s="56"/>
      <c r="O235" s="56"/>
    </row>
    <row r="236" spans="1:15" s="29" customFormat="1" x14ac:dyDescent="0.25">
      <c r="B236" s="86"/>
      <c r="C236" s="86"/>
      <c r="D236" s="56"/>
      <c r="E236" s="86"/>
      <c r="F236" s="86"/>
      <c r="G236" s="56"/>
      <c r="H236" s="56"/>
      <c r="I236" s="111"/>
      <c r="J236" s="111"/>
      <c r="K236" s="111"/>
      <c r="L236" s="111"/>
      <c r="M236" s="111"/>
      <c r="N236" s="56"/>
      <c r="O236" s="56"/>
    </row>
    <row r="237" spans="1:15" s="29" customFormat="1" x14ac:dyDescent="0.25">
      <c r="B237" s="86" t="s">
        <v>499</v>
      </c>
      <c r="C237" s="56" t="s">
        <v>321</v>
      </c>
      <c r="D237" s="56" t="s">
        <v>324</v>
      </c>
      <c r="E237" s="86" t="s">
        <v>325</v>
      </c>
      <c r="F237" s="86"/>
      <c r="G237" s="69" t="s">
        <v>1645</v>
      </c>
      <c r="H237" s="56" t="s">
        <v>491</v>
      </c>
      <c r="I237" s="111"/>
      <c r="J237" s="111"/>
      <c r="K237" s="111"/>
      <c r="L237" s="111"/>
      <c r="M237" s="111"/>
      <c r="N237" s="56"/>
      <c r="O237" s="56"/>
    </row>
    <row r="238" spans="1:15" s="29" customFormat="1" x14ac:dyDescent="0.25">
      <c r="B238" s="86"/>
      <c r="C238" s="86"/>
      <c r="D238" s="56"/>
      <c r="E238" s="86"/>
      <c r="F238" s="86"/>
      <c r="G238" s="56"/>
      <c r="H238" s="56"/>
      <c r="I238" s="111"/>
      <c r="J238" s="111"/>
      <c r="K238" s="111"/>
      <c r="L238" s="111"/>
      <c r="M238" s="111"/>
      <c r="N238" s="56"/>
      <c r="O238" s="56"/>
    </row>
    <row r="239" spans="1:15" s="29" customFormat="1" x14ac:dyDescent="0.25">
      <c r="B239" s="86"/>
      <c r="C239" s="86"/>
      <c r="D239" s="56"/>
      <c r="E239" s="86"/>
      <c r="F239" s="86"/>
      <c r="G239" s="56"/>
      <c r="H239" s="56"/>
      <c r="I239" s="111"/>
      <c r="J239" s="111"/>
      <c r="K239" s="111"/>
      <c r="L239" s="111"/>
      <c r="M239" s="111"/>
      <c r="N239" s="56"/>
      <c r="O239" s="56"/>
    </row>
    <row r="240" spans="1:15" s="29" customFormat="1" ht="16.5" thickBot="1" x14ac:dyDescent="0.3">
      <c r="B240" s="86"/>
      <c r="C240" s="86"/>
      <c r="D240" s="56"/>
      <c r="E240" s="86"/>
      <c r="F240" s="86"/>
      <c r="G240" s="56"/>
      <c r="H240" s="56"/>
      <c r="I240" s="111"/>
      <c r="J240" s="111"/>
      <c r="K240" s="111"/>
      <c r="L240" s="111"/>
      <c r="M240" s="111"/>
      <c r="N240" s="56"/>
      <c r="O240" s="56"/>
    </row>
    <row r="241" spans="1:20" s="29" customFormat="1" ht="16.5" thickTop="1" x14ac:dyDescent="0.25">
      <c r="B241" s="128"/>
      <c r="C241" s="128"/>
      <c r="D241" s="74"/>
      <c r="E241" s="128"/>
      <c r="F241" s="128"/>
      <c r="G241" s="74"/>
      <c r="H241" s="74"/>
      <c r="I241" s="153"/>
      <c r="J241" s="153"/>
      <c r="K241" s="153"/>
      <c r="L241" s="153"/>
      <c r="M241" s="153"/>
      <c r="N241" s="74"/>
      <c r="O241" s="56"/>
    </row>
    <row r="242" spans="1:20" s="29" customFormat="1" x14ac:dyDescent="0.25">
      <c r="A242" s="32"/>
      <c r="B242" s="86" t="s">
        <v>500</v>
      </c>
      <c r="C242" s="56" t="s">
        <v>1613</v>
      </c>
      <c r="D242" s="56" t="s">
        <v>337</v>
      </c>
      <c r="E242" s="86" t="s">
        <v>338</v>
      </c>
      <c r="F242" s="86"/>
      <c r="G242" s="56">
        <v>2.5</v>
      </c>
      <c r="H242" s="56">
        <v>2017</v>
      </c>
      <c r="I242" s="113" t="s">
        <v>1484</v>
      </c>
      <c r="J242" s="113" t="s">
        <v>856</v>
      </c>
      <c r="K242" s="111" t="s">
        <v>508</v>
      </c>
      <c r="L242" s="113" t="s">
        <v>1505</v>
      </c>
      <c r="M242" s="113"/>
      <c r="N242" s="111" t="s">
        <v>508</v>
      </c>
      <c r="O242" s="56"/>
    </row>
    <row r="243" spans="1:20" s="29" customFormat="1" x14ac:dyDescent="0.25">
      <c r="A243" s="32"/>
      <c r="B243" s="86" t="s">
        <v>500</v>
      </c>
      <c r="C243" s="56" t="s">
        <v>1613</v>
      </c>
      <c r="D243" s="56" t="s">
        <v>346</v>
      </c>
      <c r="E243" s="86" t="s">
        <v>497</v>
      </c>
      <c r="F243" s="86"/>
      <c r="G243" s="56">
        <v>6.6</v>
      </c>
      <c r="H243" s="56">
        <v>2013</v>
      </c>
      <c r="I243" s="111" t="s">
        <v>633</v>
      </c>
      <c r="J243" s="111" t="s">
        <v>645</v>
      </c>
      <c r="K243" s="111" t="s">
        <v>508</v>
      </c>
      <c r="L243" s="111" t="s">
        <v>644</v>
      </c>
      <c r="M243" s="111" t="s">
        <v>646</v>
      </c>
      <c r="N243" s="111" t="s">
        <v>508</v>
      </c>
      <c r="O243" s="56"/>
    </row>
    <row r="244" spans="1:20" s="29" customFormat="1" x14ac:dyDescent="0.25">
      <c r="B244" s="86" t="s">
        <v>500</v>
      </c>
      <c r="C244" s="56" t="s">
        <v>1613</v>
      </c>
      <c r="D244" s="56" t="s">
        <v>351</v>
      </c>
      <c r="E244" s="86" t="s">
        <v>352</v>
      </c>
      <c r="F244" s="86"/>
      <c r="G244" s="56">
        <v>9.1999999999999993</v>
      </c>
      <c r="H244" s="56">
        <v>2018</v>
      </c>
      <c r="I244" s="113" t="s">
        <v>480</v>
      </c>
      <c r="J244" s="113" t="s">
        <v>7</v>
      </c>
      <c r="K244" s="113" t="s">
        <v>508</v>
      </c>
      <c r="L244" s="113" t="s">
        <v>1258</v>
      </c>
      <c r="M244" s="113" t="s">
        <v>1257</v>
      </c>
      <c r="N244" s="113" t="s">
        <v>508</v>
      </c>
      <c r="O244" s="56"/>
    </row>
    <row r="245" spans="1:20" s="29" customFormat="1" x14ac:dyDescent="0.25">
      <c r="A245" s="32"/>
      <c r="B245" s="86" t="s">
        <v>500</v>
      </c>
      <c r="C245" s="56" t="s">
        <v>1613</v>
      </c>
      <c r="D245" s="56" t="s">
        <v>357</v>
      </c>
      <c r="E245" s="86" t="s">
        <v>358</v>
      </c>
      <c r="F245" s="86"/>
      <c r="G245" s="56">
        <v>5.4</v>
      </c>
      <c r="H245" s="56">
        <v>2015</v>
      </c>
      <c r="I245" s="111" t="s">
        <v>555</v>
      </c>
      <c r="J245" s="111" t="s">
        <v>645</v>
      </c>
      <c r="K245" s="111" t="s">
        <v>508</v>
      </c>
      <c r="L245" s="111" t="s">
        <v>893</v>
      </c>
      <c r="M245" s="111" t="s">
        <v>508</v>
      </c>
      <c r="N245" s="56"/>
      <c r="O245" s="56"/>
    </row>
    <row r="246" spans="1:20" s="29" customFormat="1" x14ac:dyDescent="0.25">
      <c r="A246" s="32"/>
      <c r="B246" s="86"/>
      <c r="C246" s="56"/>
      <c r="D246" s="56"/>
      <c r="E246" s="86"/>
      <c r="F246" s="86"/>
      <c r="G246" s="56"/>
      <c r="H246" s="56"/>
      <c r="I246" s="111"/>
      <c r="J246" s="111"/>
      <c r="K246" s="111"/>
      <c r="L246" s="111"/>
      <c r="M246" s="111"/>
      <c r="N246" s="56"/>
      <c r="O246" s="56"/>
    </row>
    <row r="247" spans="1:20" s="29" customFormat="1" ht="16.5" thickBot="1" x14ac:dyDescent="0.3">
      <c r="B247" s="86"/>
      <c r="C247" s="86"/>
      <c r="D247" s="56"/>
      <c r="E247" s="86"/>
      <c r="F247" s="86"/>
      <c r="G247" s="56"/>
      <c r="H247" s="56"/>
      <c r="I247" s="111"/>
      <c r="J247" s="111"/>
      <c r="K247" s="111"/>
      <c r="L247" s="111"/>
      <c r="M247" s="111"/>
      <c r="N247" s="56"/>
      <c r="O247" s="56"/>
    </row>
    <row r="248" spans="1:20" s="29" customFormat="1" ht="16.5" thickTop="1" x14ac:dyDescent="0.25">
      <c r="B248" s="128"/>
      <c r="C248" s="128"/>
      <c r="D248" s="74"/>
      <c r="E248" s="128"/>
      <c r="F248" s="128"/>
      <c r="G248" s="74"/>
      <c r="H248" s="74"/>
      <c r="I248" s="153"/>
      <c r="J248" s="153"/>
      <c r="K248" s="153"/>
      <c r="L248" s="153"/>
      <c r="M248" s="153"/>
      <c r="N248" s="74"/>
      <c r="O248" s="56"/>
    </row>
    <row r="249" spans="1:20" s="29" customFormat="1" x14ac:dyDescent="0.25">
      <c r="A249" s="32"/>
      <c r="B249" s="86"/>
      <c r="C249" s="56"/>
      <c r="D249" s="56"/>
      <c r="E249" s="86"/>
      <c r="F249" s="86"/>
      <c r="G249" s="56"/>
      <c r="H249" s="56"/>
      <c r="I249" s="111"/>
      <c r="J249" s="111"/>
      <c r="K249" s="111"/>
      <c r="L249" s="111"/>
      <c r="M249" s="111"/>
      <c r="N249" s="56"/>
      <c r="O249" s="56"/>
    </row>
    <row r="250" spans="1:20" s="29" customFormat="1" x14ac:dyDescent="0.25">
      <c r="A250" s="32"/>
      <c r="B250" s="86"/>
      <c r="C250" s="56"/>
      <c r="D250" s="56"/>
      <c r="E250" s="86"/>
      <c r="F250" s="86"/>
      <c r="G250" s="56"/>
      <c r="H250" s="56"/>
      <c r="I250" s="111"/>
      <c r="J250" s="111"/>
      <c r="K250" s="111"/>
      <c r="L250" s="111"/>
      <c r="M250" s="111"/>
      <c r="N250" s="56"/>
      <c r="O250" s="56"/>
    </row>
    <row r="251" spans="1:20" s="29" customFormat="1" x14ac:dyDescent="0.25">
      <c r="B251" s="86" t="s">
        <v>500</v>
      </c>
      <c r="C251" s="56" t="s">
        <v>1644</v>
      </c>
      <c r="D251" s="56" t="s">
        <v>335</v>
      </c>
      <c r="E251" s="86" t="s">
        <v>336</v>
      </c>
      <c r="F251" s="86"/>
      <c r="G251" s="102">
        <v>20.2</v>
      </c>
      <c r="H251" s="56">
        <v>2011</v>
      </c>
      <c r="I251" s="111" t="s">
        <v>480</v>
      </c>
      <c r="J251" s="111" t="s">
        <v>7</v>
      </c>
      <c r="K251" s="111" t="s">
        <v>508</v>
      </c>
      <c r="L251" s="111" t="s">
        <v>1211</v>
      </c>
      <c r="M251" s="111" t="s">
        <v>1212</v>
      </c>
      <c r="N251" s="111" t="s">
        <v>508</v>
      </c>
      <c r="O251" s="56"/>
      <c r="R251" s="32" t="s">
        <v>508</v>
      </c>
      <c r="T251" s="32" t="s">
        <v>508</v>
      </c>
    </row>
    <row r="252" spans="1:20" s="29" customFormat="1" x14ac:dyDescent="0.25">
      <c r="B252" s="86" t="s">
        <v>500</v>
      </c>
      <c r="C252" s="56" t="s">
        <v>1644</v>
      </c>
      <c r="D252" s="56" t="s">
        <v>339</v>
      </c>
      <c r="E252" s="86" t="s">
        <v>340</v>
      </c>
      <c r="F252" s="86"/>
      <c r="G252" s="56">
        <v>2.5</v>
      </c>
      <c r="H252" s="56">
        <v>2012</v>
      </c>
      <c r="I252" s="111" t="s">
        <v>600</v>
      </c>
      <c r="J252" s="111" t="s">
        <v>552</v>
      </c>
      <c r="K252" s="111" t="s">
        <v>508</v>
      </c>
      <c r="L252" s="111" t="s">
        <v>573</v>
      </c>
      <c r="M252" s="111" t="s">
        <v>602</v>
      </c>
      <c r="N252" s="111" t="s">
        <v>508</v>
      </c>
      <c r="O252" s="56"/>
    </row>
    <row r="253" spans="1:20" s="29" customFormat="1" x14ac:dyDescent="0.25">
      <c r="A253" s="32"/>
      <c r="B253" s="86" t="s">
        <v>500</v>
      </c>
      <c r="C253" s="56" t="s">
        <v>1644</v>
      </c>
      <c r="D253" s="56" t="s">
        <v>341</v>
      </c>
      <c r="E253" s="86" t="s">
        <v>342</v>
      </c>
      <c r="F253" s="86"/>
      <c r="G253" s="56">
        <v>5.96</v>
      </c>
      <c r="H253" s="56">
        <v>2017</v>
      </c>
      <c r="I253" s="111" t="s">
        <v>480</v>
      </c>
      <c r="J253" s="111" t="s">
        <v>1401</v>
      </c>
      <c r="K253" s="111" t="s">
        <v>508</v>
      </c>
      <c r="L253" s="111" t="s">
        <v>1215</v>
      </c>
      <c r="M253" s="111" t="s">
        <v>1402</v>
      </c>
      <c r="N253" s="111" t="s">
        <v>508</v>
      </c>
      <c r="O253" s="56"/>
    </row>
    <row r="254" spans="1:20" s="29" customFormat="1" x14ac:dyDescent="0.25">
      <c r="A254" s="32"/>
      <c r="B254" s="86" t="s">
        <v>500</v>
      </c>
      <c r="C254" s="56" t="s">
        <v>1644</v>
      </c>
      <c r="D254" s="56" t="s">
        <v>343</v>
      </c>
      <c r="E254" s="86" t="s">
        <v>344</v>
      </c>
      <c r="F254" s="86"/>
      <c r="G254" s="56">
        <v>4.0999999999999996</v>
      </c>
      <c r="H254" s="56">
        <v>2018</v>
      </c>
      <c r="I254" s="111" t="s">
        <v>480</v>
      </c>
      <c r="J254" s="111" t="s">
        <v>7</v>
      </c>
      <c r="K254" s="111" t="s">
        <v>508</v>
      </c>
      <c r="L254" s="111" t="s">
        <v>979</v>
      </c>
      <c r="M254" s="111" t="s">
        <v>1404</v>
      </c>
      <c r="N254" s="111" t="s">
        <v>508</v>
      </c>
      <c r="O254" s="56"/>
    </row>
    <row r="255" spans="1:20" s="29" customFormat="1" x14ac:dyDescent="0.25">
      <c r="A255" s="32"/>
      <c r="B255" s="86" t="s">
        <v>500</v>
      </c>
      <c r="C255" s="56" t="s">
        <v>1644</v>
      </c>
      <c r="D255" s="56" t="s">
        <v>345</v>
      </c>
      <c r="E255" s="56" t="s">
        <v>1610</v>
      </c>
      <c r="F255" s="86"/>
      <c r="G255" s="56">
        <v>5.6</v>
      </c>
      <c r="H255" s="56">
        <v>2017</v>
      </c>
      <c r="I255" s="86" t="s">
        <v>528</v>
      </c>
      <c r="J255" s="86" t="s">
        <v>1551</v>
      </c>
      <c r="K255" s="111"/>
      <c r="L255" s="86" t="s">
        <v>1483</v>
      </c>
      <c r="M255" s="86" t="s">
        <v>1552</v>
      </c>
      <c r="N255" s="56"/>
      <c r="O255" s="56"/>
      <c r="R255" s="32" t="s">
        <v>508</v>
      </c>
    </row>
    <row r="256" spans="1:20" s="29" customFormat="1" x14ac:dyDescent="0.25">
      <c r="B256" s="86" t="s">
        <v>500</v>
      </c>
      <c r="C256" s="56" t="s">
        <v>1644</v>
      </c>
      <c r="D256" s="56" t="s">
        <v>347</v>
      </c>
      <c r="E256" s="86" t="s">
        <v>348</v>
      </c>
      <c r="F256" s="86"/>
      <c r="G256" s="56">
        <v>1.4</v>
      </c>
      <c r="H256" s="56">
        <v>2013</v>
      </c>
      <c r="I256" s="111" t="s">
        <v>985</v>
      </c>
      <c r="J256" s="111" t="s">
        <v>645</v>
      </c>
      <c r="K256" s="111" t="s">
        <v>508</v>
      </c>
      <c r="L256" s="145" t="s">
        <v>596</v>
      </c>
      <c r="M256" s="113" t="s">
        <v>1242</v>
      </c>
      <c r="N256" s="111" t="s">
        <v>508</v>
      </c>
      <c r="O256" s="56"/>
      <c r="R256" s="32"/>
    </row>
    <row r="257" spans="1:15" s="29" customFormat="1" x14ac:dyDescent="0.25">
      <c r="A257" s="32"/>
      <c r="B257" s="86" t="s">
        <v>500</v>
      </c>
      <c r="C257" s="56" t="s">
        <v>1644</v>
      </c>
      <c r="D257" s="56" t="s">
        <v>349</v>
      </c>
      <c r="E257" s="86" t="s">
        <v>350</v>
      </c>
      <c r="F257" s="86"/>
      <c r="G257" s="56">
        <v>8.8000000000000007</v>
      </c>
      <c r="H257" s="56">
        <v>2017</v>
      </c>
      <c r="I257" s="111" t="s">
        <v>1637</v>
      </c>
      <c r="J257" s="111" t="s">
        <v>555</v>
      </c>
      <c r="K257" s="111" t="s">
        <v>508</v>
      </c>
      <c r="L257" s="111" t="s">
        <v>555</v>
      </c>
      <c r="M257" s="111" t="s">
        <v>1653</v>
      </c>
      <c r="N257" s="56" t="s">
        <v>508</v>
      </c>
      <c r="O257" s="56"/>
    </row>
    <row r="258" spans="1:15" s="29" customFormat="1" x14ac:dyDescent="0.25">
      <c r="A258" s="32"/>
      <c r="B258" s="86" t="s">
        <v>500</v>
      </c>
      <c r="C258" s="56" t="s">
        <v>1644</v>
      </c>
      <c r="D258" s="56" t="s">
        <v>355</v>
      </c>
      <c r="E258" s="86" t="s">
        <v>356</v>
      </c>
      <c r="F258" s="86"/>
      <c r="G258" s="56">
        <v>3.49</v>
      </c>
      <c r="H258" s="56">
        <v>2018</v>
      </c>
      <c r="I258" s="111" t="s">
        <v>1640</v>
      </c>
      <c r="J258" s="111" t="s">
        <v>7</v>
      </c>
      <c r="K258" s="111" t="s">
        <v>508</v>
      </c>
      <c r="L258" s="111" t="s">
        <v>566</v>
      </c>
      <c r="M258" s="127" t="s">
        <v>1639</v>
      </c>
      <c r="N258" s="56" t="s">
        <v>508</v>
      </c>
      <c r="O258" s="56"/>
    </row>
    <row r="259" spans="1:15" s="29" customFormat="1" x14ac:dyDescent="0.25">
      <c r="B259" s="86"/>
      <c r="C259" s="56"/>
      <c r="D259" s="56"/>
      <c r="E259" s="86"/>
      <c r="F259" s="86"/>
      <c r="G259" s="56"/>
      <c r="H259" s="56"/>
      <c r="I259" s="111"/>
      <c r="J259" s="111"/>
      <c r="K259" s="111"/>
      <c r="L259" s="111"/>
      <c r="M259" s="111"/>
      <c r="N259" s="56"/>
      <c r="O259" s="56"/>
    </row>
    <row r="260" spans="1:15" s="29" customFormat="1" x14ac:dyDescent="0.25">
      <c r="B260" s="86"/>
      <c r="C260" s="56"/>
      <c r="D260" s="56"/>
      <c r="E260" s="86"/>
      <c r="F260" s="86"/>
      <c r="G260" s="56"/>
      <c r="H260" s="56"/>
      <c r="I260" s="111"/>
      <c r="J260" s="111"/>
      <c r="K260" s="111"/>
      <c r="L260" s="111"/>
      <c r="M260" s="111"/>
      <c r="N260" s="56"/>
      <c r="O260" s="56"/>
    </row>
    <row r="261" spans="1:15" s="29" customFormat="1" x14ac:dyDescent="0.25">
      <c r="B261" s="86" t="s">
        <v>500</v>
      </c>
      <c r="C261" s="56" t="s">
        <v>1644</v>
      </c>
      <c r="D261" s="56" t="s">
        <v>353</v>
      </c>
      <c r="E261" s="86" t="s">
        <v>354</v>
      </c>
      <c r="F261" s="86"/>
      <c r="G261" s="69" t="s">
        <v>1645</v>
      </c>
      <c r="H261" s="56" t="s">
        <v>491</v>
      </c>
      <c r="I261" s="111"/>
      <c r="J261" s="111"/>
      <c r="K261" s="111"/>
      <c r="L261" s="111"/>
      <c r="M261" s="111"/>
      <c r="N261" s="56"/>
      <c r="O261" s="56"/>
    </row>
    <row r="262" spans="1:15" s="29" customFormat="1" x14ac:dyDescent="0.25">
      <c r="B262" s="86"/>
      <c r="C262" s="56"/>
      <c r="D262" s="56"/>
      <c r="E262" s="86"/>
      <c r="F262" s="86"/>
      <c r="G262" s="56"/>
      <c r="H262" s="56"/>
      <c r="I262" s="111"/>
      <c r="J262" s="111"/>
      <c r="K262" s="111"/>
      <c r="L262" s="111"/>
      <c r="M262" s="111"/>
      <c r="N262" s="56"/>
      <c r="O262" s="56"/>
    </row>
    <row r="263" spans="1:15" s="29" customFormat="1" ht="16.5" thickBot="1" x14ac:dyDescent="0.3">
      <c r="B263" s="86"/>
      <c r="C263" s="56"/>
      <c r="D263" s="56"/>
      <c r="E263" s="86"/>
      <c r="F263" s="86"/>
      <c r="G263" s="56"/>
      <c r="H263" s="56"/>
      <c r="I263" s="111"/>
      <c r="J263" s="111"/>
      <c r="K263" s="111"/>
      <c r="L263" s="111"/>
      <c r="M263" s="111"/>
      <c r="N263" s="56"/>
      <c r="O263" s="56"/>
    </row>
    <row r="264" spans="1:15" s="29" customFormat="1" ht="16.5" thickTop="1" x14ac:dyDescent="0.25">
      <c r="B264" s="128"/>
      <c r="C264" s="74"/>
      <c r="D264" s="74"/>
      <c r="E264" s="128"/>
      <c r="F264" s="128"/>
      <c r="G264" s="74"/>
      <c r="H264" s="74"/>
      <c r="I264" s="153"/>
      <c r="J264" s="153"/>
      <c r="K264" s="153"/>
      <c r="L264" s="153"/>
      <c r="M264" s="153"/>
      <c r="N264" s="74"/>
      <c r="O264" s="56"/>
    </row>
    <row r="265" spans="1:15" s="29" customFormat="1" x14ac:dyDescent="0.25">
      <c r="B265" s="86" t="s">
        <v>500</v>
      </c>
      <c r="C265" s="86" t="s">
        <v>571</v>
      </c>
      <c r="D265" s="56" t="s">
        <v>361</v>
      </c>
      <c r="E265" s="86" t="s">
        <v>362</v>
      </c>
      <c r="F265" s="86"/>
      <c r="G265" s="56">
        <v>21</v>
      </c>
      <c r="H265" s="146">
        <v>2017</v>
      </c>
      <c r="I265" s="145" t="s">
        <v>1397</v>
      </c>
      <c r="J265" s="145" t="s">
        <v>615</v>
      </c>
      <c r="K265" s="158" t="s">
        <v>508</v>
      </c>
      <c r="L265" s="142" t="s">
        <v>1399</v>
      </c>
      <c r="M265" s="145" t="s">
        <v>1400</v>
      </c>
      <c r="N265" s="111" t="s">
        <v>508</v>
      </c>
      <c r="O265" s="56"/>
    </row>
    <row r="266" spans="1:15" s="29" customFormat="1" x14ac:dyDescent="0.25">
      <c r="B266" s="86" t="s">
        <v>500</v>
      </c>
      <c r="C266" s="86" t="s">
        <v>571</v>
      </c>
      <c r="D266" s="56" t="s">
        <v>363</v>
      </c>
      <c r="E266" s="86" t="s">
        <v>364</v>
      </c>
      <c r="F266" s="86"/>
      <c r="G266" s="56">
        <v>3.7</v>
      </c>
      <c r="H266" s="56">
        <v>2012</v>
      </c>
      <c r="I266" s="111" t="s">
        <v>484</v>
      </c>
      <c r="J266" s="111" t="s">
        <v>25</v>
      </c>
      <c r="K266" s="111" t="s">
        <v>508</v>
      </c>
      <c r="L266" s="111" t="s">
        <v>561</v>
      </c>
      <c r="M266" s="111" t="s">
        <v>562</v>
      </c>
      <c r="N266" s="111" t="s">
        <v>508</v>
      </c>
      <c r="O266" s="56"/>
    </row>
    <row r="267" spans="1:15" s="29" customFormat="1" x14ac:dyDescent="0.25">
      <c r="B267" s="86" t="s">
        <v>500</v>
      </c>
      <c r="C267" s="86" t="s">
        <v>571</v>
      </c>
      <c r="D267" s="56" t="s">
        <v>365</v>
      </c>
      <c r="E267" s="86" t="s">
        <v>366</v>
      </c>
      <c r="F267" s="86"/>
      <c r="G267" s="56">
        <v>5.5</v>
      </c>
      <c r="H267" s="56">
        <v>2017</v>
      </c>
      <c r="I267" s="111" t="s">
        <v>480</v>
      </c>
      <c r="J267" s="111" t="s">
        <v>7</v>
      </c>
      <c r="K267" s="111" t="s">
        <v>508</v>
      </c>
      <c r="L267" s="111" t="s">
        <v>480</v>
      </c>
      <c r="M267" s="111" t="s">
        <v>1406</v>
      </c>
      <c r="N267" s="111" t="s">
        <v>508</v>
      </c>
      <c r="O267" s="56"/>
    </row>
    <row r="268" spans="1:15" s="29" customFormat="1" x14ac:dyDescent="0.25">
      <c r="A268" s="32"/>
      <c r="B268" s="86" t="s">
        <v>500</v>
      </c>
      <c r="C268" s="86" t="s">
        <v>571</v>
      </c>
      <c r="D268" s="56" t="s">
        <v>367</v>
      </c>
      <c r="E268" s="86" t="s">
        <v>943</v>
      </c>
      <c r="F268" s="86"/>
      <c r="G268" s="56">
        <v>22</v>
      </c>
      <c r="H268" s="56">
        <v>2016</v>
      </c>
      <c r="I268" s="111" t="s">
        <v>480</v>
      </c>
      <c r="J268" s="111" t="s">
        <v>7</v>
      </c>
      <c r="K268" s="111" t="s">
        <v>508</v>
      </c>
      <c r="L268" s="111" t="s">
        <v>1216</v>
      </c>
      <c r="M268" s="111" t="s">
        <v>508</v>
      </c>
      <c r="N268" s="56"/>
      <c r="O268" s="56"/>
    </row>
    <row r="269" spans="1:15" s="29" customFormat="1" x14ac:dyDescent="0.25">
      <c r="B269" s="86" t="s">
        <v>500</v>
      </c>
      <c r="C269" s="86" t="s">
        <v>571</v>
      </c>
      <c r="D269" s="56" t="s">
        <v>370</v>
      </c>
      <c r="E269" s="86" t="s">
        <v>371</v>
      </c>
      <c r="F269" s="86"/>
      <c r="G269" s="56">
        <v>5.7</v>
      </c>
      <c r="H269" s="56">
        <v>2018</v>
      </c>
      <c r="I269" s="111" t="s">
        <v>1176</v>
      </c>
      <c r="J269" s="111" t="s">
        <v>593</v>
      </c>
      <c r="K269" s="111" t="s">
        <v>508</v>
      </c>
      <c r="L269" s="145" t="s">
        <v>1408</v>
      </c>
      <c r="M269" s="145" t="s">
        <v>1410</v>
      </c>
      <c r="N269" s="56" t="s">
        <v>508</v>
      </c>
      <c r="O269" s="56"/>
    </row>
    <row r="270" spans="1:15" s="29" customFormat="1" x14ac:dyDescent="0.25">
      <c r="A270" s="32"/>
      <c r="B270" s="86" t="s">
        <v>500</v>
      </c>
      <c r="C270" s="86" t="s">
        <v>571</v>
      </c>
      <c r="D270" s="56" t="s">
        <v>377</v>
      </c>
      <c r="E270" s="86" t="s">
        <v>378</v>
      </c>
      <c r="F270" s="86"/>
      <c r="G270" s="56">
        <f>AVERAGE(0.3,3)</f>
        <v>1.65</v>
      </c>
      <c r="H270" s="78" t="s">
        <v>656</v>
      </c>
      <c r="I270" s="111" t="s">
        <v>658</v>
      </c>
      <c r="J270" s="111" t="s">
        <v>593</v>
      </c>
      <c r="K270" s="111" t="s">
        <v>508</v>
      </c>
      <c r="L270" s="111" t="s">
        <v>657</v>
      </c>
      <c r="M270" s="111" t="s">
        <v>665</v>
      </c>
      <c r="N270" s="111" t="s">
        <v>508</v>
      </c>
      <c r="O270" s="56"/>
    </row>
    <row r="271" spans="1:15" s="29" customFormat="1" x14ac:dyDescent="0.25">
      <c r="A271" s="32"/>
      <c r="B271" s="86" t="s">
        <v>500</v>
      </c>
      <c r="C271" s="86" t="s">
        <v>571</v>
      </c>
      <c r="D271" s="56" t="s">
        <v>381</v>
      </c>
      <c r="E271" s="86" t="s">
        <v>382</v>
      </c>
      <c r="F271" s="86"/>
      <c r="G271" s="102">
        <v>2.0699999999999998</v>
      </c>
      <c r="H271" s="56">
        <v>2017</v>
      </c>
      <c r="I271" s="111" t="s">
        <v>600</v>
      </c>
      <c r="J271" s="111" t="s">
        <v>7</v>
      </c>
      <c r="K271" s="111" t="s">
        <v>508</v>
      </c>
      <c r="L271" s="145" t="s">
        <v>1217</v>
      </c>
      <c r="M271" s="113" t="s">
        <v>975</v>
      </c>
      <c r="N271" s="111" t="s">
        <v>508</v>
      </c>
      <c r="O271" s="56"/>
    </row>
    <row r="272" spans="1:15" s="29" customFormat="1" x14ac:dyDescent="0.25">
      <c r="B272" s="86" t="s">
        <v>500</v>
      </c>
      <c r="C272" s="86" t="s">
        <v>571</v>
      </c>
      <c r="D272" s="56" t="s">
        <v>375</v>
      </c>
      <c r="E272" s="86" t="s">
        <v>376</v>
      </c>
      <c r="F272" s="86"/>
      <c r="G272" s="69">
        <v>1.4</v>
      </c>
      <c r="H272" s="56">
        <v>2013</v>
      </c>
      <c r="I272" s="111" t="s">
        <v>670</v>
      </c>
      <c r="J272" s="111" t="s">
        <v>25</v>
      </c>
      <c r="K272" s="111"/>
      <c r="L272" s="145" t="s">
        <v>1411</v>
      </c>
      <c r="M272" s="113" t="s">
        <v>1412</v>
      </c>
      <c r="N272" s="111"/>
      <c r="O272" s="56"/>
    </row>
    <row r="273" spans="1:18" s="29" customFormat="1" x14ac:dyDescent="0.25">
      <c r="A273" s="32"/>
      <c r="B273" s="86" t="s">
        <v>500</v>
      </c>
      <c r="C273" s="86" t="s">
        <v>571</v>
      </c>
      <c r="D273" s="56" t="s">
        <v>385</v>
      </c>
      <c r="E273" s="86" t="s">
        <v>386</v>
      </c>
      <c r="F273" s="86"/>
      <c r="G273" s="56">
        <v>2.1800000000000002</v>
      </c>
      <c r="H273" s="56">
        <v>2015</v>
      </c>
      <c r="I273" s="111" t="s">
        <v>480</v>
      </c>
      <c r="J273" s="111" t="s">
        <v>7</v>
      </c>
      <c r="K273" s="111" t="s">
        <v>508</v>
      </c>
      <c r="L273" s="111" t="s">
        <v>668</v>
      </c>
      <c r="M273" s="111" t="s">
        <v>976</v>
      </c>
      <c r="N273" s="56" t="s">
        <v>508</v>
      </c>
      <c r="O273" s="56"/>
    </row>
    <row r="274" spans="1:18" s="29" customFormat="1" x14ac:dyDescent="0.25">
      <c r="B274" s="86" t="s">
        <v>500</v>
      </c>
      <c r="C274" s="86" t="s">
        <v>571</v>
      </c>
      <c r="D274" s="56" t="s">
        <v>387</v>
      </c>
      <c r="E274" s="86" t="s">
        <v>388</v>
      </c>
      <c r="F274" s="86"/>
      <c r="G274" s="56">
        <v>10</v>
      </c>
      <c r="H274" s="56">
        <v>2007</v>
      </c>
      <c r="I274" s="111" t="s">
        <v>480</v>
      </c>
      <c r="J274" s="111" t="s">
        <v>7</v>
      </c>
      <c r="K274" s="111" t="s">
        <v>508</v>
      </c>
      <c r="L274" s="111"/>
      <c r="M274" s="111" t="s">
        <v>16</v>
      </c>
      <c r="N274" s="56" t="s">
        <v>508</v>
      </c>
      <c r="O274" s="56"/>
      <c r="P274" s="29" t="s">
        <v>508</v>
      </c>
    </row>
    <row r="275" spans="1:18" s="29" customFormat="1" x14ac:dyDescent="0.25">
      <c r="A275" s="32"/>
      <c r="B275" s="86" t="s">
        <v>500</v>
      </c>
      <c r="C275" s="86" t="s">
        <v>571</v>
      </c>
      <c r="D275" s="56" t="s">
        <v>389</v>
      </c>
      <c r="E275" s="86" t="s">
        <v>390</v>
      </c>
      <c r="F275" s="86"/>
      <c r="G275" s="102">
        <v>2</v>
      </c>
      <c r="H275" s="78" t="s">
        <v>980</v>
      </c>
      <c r="I275" s="111" t="s">
        <v>670</v>
      </c>
      <c r="J275" s="111" t="s">
        <v>25</v>
      </c>
      <c r="K275" s="111" t="s">
        <v>508</v>
      </c>
      <c r="L275" s="111" t="s">
        <v>669</v>
      </c>
      <c r="M275" s="111" t="s">
        <v>671</v>
      </c>
      <c r="N275" s="111" t="s">
        <v>508</v>
      </c>
      <c r="O275" s="56"/>
    </row>
    <row r="276" spans="1:18" s="29" customFormat="1" x14ac:dyDescent="0.25">
      <c r="B276" s="86" t="s">
        <v>500</v>
      </c>
      <c r="C276" s="86" t="s">
        <v>571</v>
      </c>
      <c r="D276" s="56" t="s">
        <v>393</v>
      </c>
      <c r="E276" s="86" t="s">
        <v>394</v>
      </c>
      <c r="F276" s="86"/>
      <c r="G276" s="102">
        <v>2.36</v>
      </c>
      <c r="H276" s="56">
        <v>2018</v>
      </c>
      <c r="I276" s="111" t="s">
        <v>480</v>
      </c>
      <c r="J276" s="111" t="s">
        <v>7</v>
      </c>
      <c r="K276" s="111" t="s">
        <v>508</v>
      </c>
      <c r="L276" s="145" t="s">
        <v>1226</v>
      </c>
      <c r="M276" s="145" t="s">
        <v>508</v>
      </c>
      <c r="N276" s="111" t="s">
        <v>508</v>
      </c>
      <c r="O276" s="56"/>
    </row>
    <row r="277" spans="1:18" s="29" customFormat="1" x14ac:dyDescent="0.25">
      <c r="A277" s="32"/>
      <c r="B277" s="86" t="s">
        <v>500</v>
      </c>
      <c r="C277" s="86" t="s">
        <v>571</v>
      </c>
      <c r="D277" s="56" t="s">
        <v>395</v>
      </c>
      <c r="E277" s="86" t="s">
        <v>396</v>
      </c>
      <c r="F277" s="86"/>
      <c r="G277" s="56">
        <v>3.6</v>
      </c>
      <c r="H277" s="56">
        <v>2017</v>
      </c>
      <c r="I277" s="113" t="s">
        <v>633</v>
      </c>
      <c r="J277" s="113" t="s">
        <v>961</v>
      </c>
      <c r="K277" s="56"/>
      <c r="L277" s="113" t="s">
        <v>1207</v>
      </c>
      <c r="M277" s="113" t="s">
        <v>1416</v>
      </c>
      <c r="N277" s="111" t="s">
        <v>508</v>
      </c>
      <c r="O277" s="56"/>
      <c r="R277" s="32"/>
    </row>
    <row r="278" spans="1:18" s="29" customFormat="1" x14ac:dyDescent="0.25">
      <c r="A278" s="32"/>
      <c r="B278" s="86" t="s">
        <v>500</v>
      </c>
      <c r="C278" s="86" t="s">
        <v>571</v>
      </c>
      <c r="D278" s="56" t="s">
        <v>399</v>
      </c>
      <c r="E278" s="86" t="s">
        <v>400</v>
      </c>
      <c r="F278" s="86"/>
      <c r="G278" s="56">
        <v>4.9000000000000004</v>
      </c>
      <c r="H278" s="56">
        <v>2018</v>
      </c>
      <c r="I278" s="113" t="s">
        <v>507</v>
      </c>
      <c r="J278" s="113" t="s">
        <v>856</v>
      </c>
      <c r="K278" s="56"/>
      <c r="L278" s="113" t="s">
        <v>1525</v>
      </c>
      <c r="M278" s="113"/>
      <c r="N278" s="111" t="s">
        <v>508</v>
      </c>
      <c r="O278" s="56"/>
    </row>
    <row r="279" spans="1:18" s="29" customFormat="1" x14ac:dyDescent="0.25">
      <c r="B279" s="86" t="s">
        <v>500</v>
      </c>
      <c r="C279" s="86" t="s">
        <v>571</v>
      </c>
      <c r="D279" s="56" t="s">
        <v>401</v>
      </c>
      <c r="E279" s="86" t="s">
        <v>402</v>
      </c>
      <c r="F279" s="86"/>
      <c r="G279" s="56">
        <v>24.7</v>
      </c>
      <c r="H279" s="56">
        <v>2005</v>
      </c>
      <c r="I279" s="111" t="s">
        <v>480</v>
      </c>
      <c r="J279" s="111" t="s">
        <v>25</v>
      </c>
      <c r="K279" s="111" t="s">
        <v>508</v>
      </c>
      <c r="L279" s="111" t="s">
        <v>608</v>
      </c>
      <c r="M279" s="111" t="s">
        <v>667</v>
      </c>
      <c r="N279" s="111" t="s">
        <v>508</v>
      </c>
      <c r="O279" s="56"/>
    </row>
    <row r="280" spans="1:18" s="29" customFormat="1" x14ac:dyDescent="0.25">
      <c r="B280" s="86" t="s">
        <v>500</v>
      </c>
      <c r="C280" s="86" t="s">
        <v>571</v>
      </c>
      <c r="D280" s="56" t="s">
        <v>403</v>
      </c>
      <c r="E280" s="86" t="s">
        <v>404</v>
      </c>
      <c r="F280" s="86"/>
      <c r="G280" s="56">
        <v>0.01</v>
      </c>
      <c r="H280" s="56">
        <v>2017</v>
      </c>
      <c r="I280" s="111" t="s">
        <v>480</v>
      </c>
      <c r="J280" s="111" t="s">
        <v>7</v>
      </c>
      <c r="K280" s="111" t="s">
        <v>508</v>
      </c>
      <c r="L280" s="111" t="s">
        <v>480</v>
      </c>
      <c r="M280" s="145" t="s">
        <v>1420</v>
      </c>
      <c r="N280" s="56" t="s">
        <v>508</v>
      </c>
      <c r="O280" s="56"/>
    </row>
    <row r="281" spans="1:18" s="29" customFormat="1" x14ac:dyDescent="0.25">
      <c r="B281" s="86" t="s">
        <v>500</v>
      </c>
      <c r="C281" s="86" t="s">
        <v>571</v>
      </c>
      <c r="D281" s="56" t="s">
        <v>409</v>
      </c>
      <c r="E281" s="86" t="s">
        <v>410</v>
      </c>
      <c r="F281" s="86"/>
      <c r="G281" s="56">
        <v>0.9</v>
      </c>
      <c r="H281" s="56">
        <v>2015</v>
      </c>
      <c r="I281" s="113" t="s">
        <v>484</v>
      </c>
      <c r="J281" s="113" t="s">
        <v>7</v>
      </c>
      <c r="K281" s="113" t="s">
        <v>508</v>
      </c>
      <c r="L281" s="113" t="s">
        <v>601</v>
      </c>
      <c r="M281" s="113" t="s">
        <v>977</v>
      </c>
      <c r="N281" s="56" t="s">
        <v>508</v>
      </c>
      <c r="O281" s="56"/>
    </row>
    <row r="282" spans="1:18" s="29" customFormat="1" x14ac:dyDescent="0.25">
      <c r="B282" s="86" t="s">
        <v>500</v>
      </c>
      <c r="C282" s="86" t="s">
        <v>571</v>
      </c>
      <c r="D282" s="56" t="s">
        <v>407</v>
      </c>
      <c r="E282" s="86" t="s">
        <v>408</v>
      </c>
      <c r="F282" s="86"/>
      <c r="G282" s="56">
        <v>6.3</v>
      </c>
      <c r="H282" s="56">
        <v>2017</v>
      </c>
      <c r="I282" s="111" t="s">
        <v>484</v>
      </c>
      <c r="J282" s="111" t="s">
        <v>7</v>
      </c>
      <c r="K282" s="111" t="s">
        <v>508</v>
      </c>
      <c r="L282" s="111" t="s">
        <v>1461</v>
      </c>
      <c r="M282" s="111" t="s">
        <v>1464</v>
      </c>
      <c r="N282" s="111" t="s">
        <v>508</v>
      </c>
      <c r="O282" s="56"/>
    </row>
    <row r="283" spans="1:18" s="29" customFormat="1" x14ac:dyDescent="0.25">
      <c r="B283" s="86" t="s">
        <v>500</v>
      </c>
      <c r="C283" s="86" t="s">
        <v>571</v>
      </c>
      <c r="D283" s="56" t="s">
        <v>411</v>
      </c>
      <c r="E283" s="86" t="s">
        <v>412</v>
      </c>
      <c r="F283" s="86"/>
      <c r="G283" s="56">
        <v>2.9</v>
      </c>
      <c r="H283" s="56">
        <v>2017</v>
      </c>
      <c r="I283" s="111" t="s">
        <v>1425</v>
      </c>
      <c r="J283" s="111" t="s">
        <v>25</v>
      </c>
      <c r="K283" s="111" t="s">
        <v>508</v>
      </c>
      <c r="L283" s="113" t="s">
        <v>1424</v>
      </c>
      <c r="M283" s="111" t="s">
        <v>1426</v>
      </c>
      <c r="N283" s="111" t="s">
        <v>508</v>
      </c>
      <c r="O283" s="56"/>
    </row>
    <row r="284" spans="1:18" s="29" customFormat="1" x14ac:dyDescent="0.25">
      <c r="B284" s="86" t="s">
        <v>500</v>
      </c>
      <c r="C284" s="86" t="s">
        <v>571</v>
      </c>
      <c r="D284" s="56" t="s">
        <v>413</v>
      </c>
      <c r="E284" s="86" t="s">
        <v>414</v>
      </c>
      <c r="F284" s="86"/>
      <c r="G284" s="56">
        <v>4.17</v>
      </c>
      <c r="H284" s="56">
        <v>2018</v>
      </c>
      <c r="I284" s="111" t="s">
        <v>480</v>
      </c>
      <c r="J284" s="111" t="s">
        <v>7</v>
      </c>
      <c r="K284" s="111" t="s">
        <v>508</v>
      </c>
      <c r="L284" s="145" t="s">
        <v>1220</v>
      </c>
      <c r="M284" s="145" t="s">
        <v>1428</v>
      </c>
      <c r="N284" s="111" t="s">
        <v>508</v>
      </c>
      <c r="O284" s="56"/>
    </row>
    <row r="285" spans="1:18" s="29" customFormat="1" x14ac:dyDescent="0.25">
      <c r="B285" s="86" t="s">
        <v>500</v>
      </c>
      <c r="C285" s="86" t="s">
        <v>571</v>
      </c>
      <c r="D285" s="56" t="s">
        <v>417</v>
      </c>
      <c r="E285" s="86" t="s">
        <v>418</v>
      </c>
      <c r="F285" s="86"/>
      <c r="G285" s="56">
        <v>3.7</v>
      </c>
      <c r="H285" s="56">
        <v>2017</v>
      </c>
      <c r="I285" s="111" t="s">
        <v>484</v>
      </c>
      <c r="J285" s="111" t="s">
        <v>7</v>
      </c>
      <c r="K285" s="111" t="s">
        <v>508</v>
      </c>
      <c r="L285" s="111" t="s">
        <v>1462</v>
      </c>
      <c r="M285" s="111" t="s">
        <v>1465</v>
      </c>
      <c r="N285" s="111" t="s">
        <v>508</v>
      </c>
      <c r="O285" s="56"/>
    </row>
    <row r="286" spans="1:18" s="29" customFormat="1" x14ac:dyDescent="0.25">
      <c r="B286" s="86" t="s">
        <v>500</v>
      </c>
      <c r="C286" s="86" t="s">
        <v>571</v>
      </c>
      <c r="D286" s="56" t="s">
        <v>419</v>
      </c>
      <c r="E286" s="86" t="s">
        <v>420</v>
      </c>
      <c r="F286" s="86"/>
      <c r="G286" s="56">
        <v>2.8</v>
      </c>
      <c r="H286" s="56">
        <v>2016</v>
      </c>
      <c r="I286" s="111" t="s">
        <v>600</v>
      </c>
      <c r="J286" s="111" t="s">
        <v>1184</v>
      </c>
      <c r="K286" s="111" t="s">
        <v>508</v>
      </c>
      <c r="L286" s="111" t="s">
        <v>1224</v>
      </c>
      <c r="M286" s="111" t="s">
        <v>1185</v>
      </c>
      <c r="N286" s="111" t="s">
        <v>508</v>
      </c>
      <c r="O286" s="56"/>
    </row>
    <row r="287" spans="1:18" s="29" customFormat="1" x14ac:dyDescent="0.25">
      <c r="B287" s="86" t="s">
        <v>500</v>
      </c>
      <c r="C287" s="86" t="s">
        <v>571</v>
      </c>
      <c r="D287" s="56" t="s">
        <v>415</v>
      </c>
      <c r="E287" s="86" t="s">
        <v>416</v>
      </c>
      <c r="F287" s="86"/>
      <c r="G287" s="56">
        <v>7.7</v>
      </c>
      <c r="H287" s="56">
        <v>2017</v>
      </c>
      <c r="I287" s="111" t="s">
        <v>1012</v>
      </c>
      <c r="J287" s="111" t="s">
        <v>7</v>
      </c>
      <c r="K287" s="111" t="s">
        <v>508</v>
      </c>
      <c r="L287" s="111" t="s">
        <v>1433</v>
      </c>
      <c r="M287" s="111" t="s">
        <v>1431</v>
      </c>
      <c r="N287" s="111" t="s">
        <v>508</v>
      </c>
      <c r="O287" s="56"/>
    </row>
    <row r="288" spans="1:18" s="29" customFormat="1" x14ac:dyDescent="0.25">
      <c r="A288" s="32"/>
      <c r="B288" s="86" t="s">
        <v>500</v>
      </c>
      <c r="C288" s="86" t="s">
        <v>571</v>
      </c>
      <c r="D288" s="56" t="s">
        <v>421</v>
      </c>
      <c r="E288" s="86" t="s">
        <v>422</v>
      </c>
      <c r="F288" s="86"/>
      <c r="G288" s="56">
        <v>0.4</v>
      </c>
      <c r="H288" s="56">
        <v>2015</v>
      </c>
      <c r="I288" s="111" t="s">
        <v>930</v>
      </c>
      <c r="J288" s="111" t="s">
        <v>7</v>
      </c>
      <c r="K288" s="111" t="s">
        <v>508</v>
      </c>
      <c r="L288" s="111" t="s">
        <v>928</v>
      </c>
      <c r="M288" s="111" t="s">
        <v>531</v>
      </c>
      <c r="N288" s="111" t="s">
        <v>508</v>
      </c>
      <c r="O288" s="56"/>
      <c r="R288" s="32"/>
    </row>
    <row r="289" spans="2:15" s="29" customFormat="1" x14ac:dyDescent="0.25">
      <c r="B289" s="86" t="s">
        <v>500</v>
      </c>
      <c r="C289" s="86" t="s">
        <v>571</v>
      </c>
      <c r="D289" s="56" t="s">
        <v>423</v>
      </c>
      <c r="E289" s="86" t="s">
        <v>424</v>
      </c>
      <c r="F289" s="86"/>
      <c r="G289" s="56">
        <v>10.3</v>
      </c>
      <c r="H289" s="56">
        <v>2013</v>
      </c>
      <c r="I289" s="111" t="s">
        <v>480</v>
      </c>
      <c r="J289" s="111" t="s">
        <v>7</v>
      </c>
      <c r="K289" s="111" t="s">
        <v>508</v>
      </c>
      <c r="L289" s="111" t="s">
        <v>606</v>
      </c>
      <c r="M289" s="111" t="s">
        <v>605</v>
      </c>
      <c r="N289" s="56" t="s">
        <v>508</v>
      </c>
      <c r="O289" s="56"/>
    </row>
    <row r="290" spans="2:15" s="29" customFormat="1" x14ac:dyDescent="0.25">
      <c r="B290" s="86" t="s">
        <v>500</v>
      </c>
      <c r="C290" s="86" t="s">
        <v>571</v>
      </c>
      <c r="D290" s="56" t="s">
        <v>426</v>
      </c>
      <c r="E290" s="86" t="s">
        <v>936</v>
      </c>
      <c r="F290" s="86"/>
      <c r="G290" s="56">
        <v>1.2</v>
      </c>
      <c r="H290" s="56">
        <v>2017</v>
      </c>
      <c r="I290" s="111" t="s">
        <v>1437</v>
      </c>
      <c r="J290" s="111" t="s">
        <v>25</v>
      </c>
      <c r="K290" s="111" t="s">
        <v>508</v>
      </c>
      <c r="L290" s="113" t="s">
        <v>1435</v>
      </c>
      <c r="M290" s="113" t="s">
        <v>1438</v>
      </c>
      <c r="N290" s="111" t="s">
        <v>508</v>
      </c>
      <c r="O290" s="56"/>
    </row>
    <row r="291" spans="2:15" s="29" customFormat="1" x14ac:dyDescent="0.25">
      <c r="B291" s="86"/>
      <c r="C291" s="86"/>
      <c r="D291" s="56"/>
      <c r="E291" s="86"/>
      <c r="F291" s="86"/>
      <c r="G291" s="56"/>
      <c r="H291" s="56"/>
      <c r="I291" s="111"/>
      <c r="J291" s="111"/>
      <c r="K291" s="111"/>
      <c r="L291" s="111"/>
      <c r="M291" s="111"/>
      <c r="N291" s="56"/>
      <c r="O291" s="56"/>
    </row>
    <row r="292" spans="2:15" s="29" customFormat="1" x14ac:dyDescent="0.25">
      <c r="B292" s="86"/>
      <c r="C292" s="86"/>
      <c r="D292" s="56"/>
      <c r="E292" s="86"/>
      <c r="F292" s="86"/>
      <c r="G292" s="56"/>
      <c r="H292" s="56"/>
      <c r="I292" s="111"/>
      <c r="J292" s="111"/>
      <c r="K292" s="111"/>
      <c r="L292" s="111"/>
      <c r="M292" s="111"/>
      <c r="N292" s="56"/>
      <c r="O292" s="56"/>
    </row>
    <row r="293" spans="2:15" s="29" customFormat="1" x14ac:dyDescent="0.25">
      <c r="B293" s="86" t="s">
        <v>500</v>
      </c>
      <c r="C293" s="86" t="s">
        <v>571</v>
      </c>
      <c r="D293" s="56" t="s">
        <v>359</v>
      </c>
      <c r="E293" s="86" t="s">
        <v>360</v>
      </c>
      <c r="F293" s="86"/>
      <c r="G293" s="69" t="s">
        <v>1645</v>
      </c>
      <c r="H293" s="56" t="s">
        <v>491</v>
      </c>
      <c r="I293" s="111"/>
      <c r="J293" s="111"/>
      <c r="K293" s="111"/>
      <c r="L293" s="111"/>
      <c r="M293" s="111"/>
      <c r="N293" s="56"/>
      <c r="O293" s="56"/>
    </row>
    <row r="294" spans="2:15" s="29" customFormat="1" x14ac:dyDescent="0.25">
      <c r="B294" s="86" t="s">
        <v>500</v>
      </c>
      <c r="C294" s="86" t="s">
        <v>571</v>
      </c>
      <c r="D294" s="56" t="s">
        <v>430</v>
      </c>
      <c r="E294" s="86" t="s">
        <v>431</v>
      </c>
      <c r="F294" s="86"/>
      <c r="G294" s="69" t="s">
        <v>1645</v>
      </c>
      <c r="H294" s="56"/>
      <c r="I294" s="111"/>
      <c r="J294" s="111"/>
      <c r="K294" s="111"/>
      <c r="L294" s="111"/>
      <c r="M294" s="111"/>
      <c r="N294" s="56"/>
      <c r="O294" s="56"/>
    </row>
    <row r="295" spans="2:15" s="29" customFormat="1" x14ac:dyDescent="0.25">
      <c r="B295" s="86" t="s">
        <v>500</v>
      </c>
      <c r="C295" s="86" t="s">
        <v>571</v>
      </c>
      <c r="D295" s="56" t="s">
        <v>368</v>
      </c>
      <c r="E295" s="86" t="s">
        <v>369</v>
      </c>
      <c r="F295" s="86"/>
      <c r="G295" s="69" t="s">
        <v>1645</v>
      </c>
      <c r="H295" s="56" t="s">
        <v>491</v>
      </c>
      <c r="I295" s="111"/>
      <c r="J295" s="111"/>
      <c r="K295" s="111"/>
      <c r="L295" s="111"/>
      <c r="M295" s="111"/>
      <c r="N295" s="56"/>
      <c r="O295" s="56"/>
    </row>
    <row r="296" spans="2:15" s="29" customFormat="1" x14ac:dyDescent="0.25">
      <c r="B296" s="86" t="s">
        <v>500</v>
      </c>
      <c r="C296" s="86" t="s">
        <v>571</v>
      </c>
      <c r="D296" s="56" t="s">
        <v>372</v>
      </c>
      <c r="E296" s="86" t="s">
        <v>1010</v>
      </c>
      <c r="F296" s="86"/>
      <c r="G296" s="69" t="s">
        <v>1645</v>
      </c>
      <c r="H296" s="56"/>
      <c r="I296" s="111"/>
      <c r="J296" s="111"/>
      <c r="K296" s="111"/>
      <c r="L296" s="111"/>
      <c r="M296" s="111"/>
      <c r="N296" s="56"/>
      <c r="O296" s="56"/>
    </row>
    <row r="297" spans="2:15" s="29" customFormat="1" x14ac:dyDescent="0.25">
      <c r="B297" s="86" t="s">
        <v>500</v>
      </c>
      <c r="C297" s="86" t="s">
        <v>571</v>
      </c>
      <c r="D297" s="56" t="s">
        <v>373</v>
      </c>
      <c r="E297" s="86" t="s">
        <v>374</v>
      </c>
      <c r="F297" s="86"/>
      <c r="G297" s="69" t="s">
        <v>1645</v>
      </c>
      <c r="H297" s="56"/>
      <c r="I297" s="111"/>
      <c r="J297" s="111"/>
      <c r="K297" s="111"/>
      <c r="L297" s="111"/>
      <c r="M297" s="111"/>
      <c r="N297" s="56"/>
      <c r="O297" s="56"/>
    </row>
    <row r="298" spans="2:15" s="29" customFormat="1" x14ac:dyDescent="0.25">
      <c r="B298" s="86" t="s">
        <v>500</v>
      </c>
      <c r="C298" s="86" t="s">
        <v>571</v>
      </c>
      <c r="D298" s="56" t="s">
        <v>379</v>
      </c>
      <c r="E298" s="86" t="s">
        <v>380</v>
      </c>
      <c r="F298" s="86"/>
      <c r="G298" s="69" t="s">
        <v>1645</v>
      </c>
      <c r="H298" s="56"/>
      <c r="I298" s="111"/>
      <c r="J298" s="111"/>
      <c r="K298" s="111"/>
      <c r="L298" s="111"/>
      <c r="M298" s="111"/>
      <c r="N298" s="56"/>
      <c r="O298" s="56"/>
    </row>
    <row r="299" spans="2:15" s="29" customFormat="1" x14ac:dyDescent="0.25">
      <c r="B299" s="86" t="s">
        <v>500</v>
      </c>
      <c r="C299" s="56" t="s">
        <v>571</v>
      </c>
      <c r="D299" s="56" t="s">
        <v>1623</v>
      </c>
      <c r="E299" s="56" t="s">
        <v>1624</v>
      </c>
      <c r="F299" s="86"/>
      <c r="G299" s="69" t="s">
        <v>1645</v>
      </c>
      <c r="H299" s="56"/>
      <c r="I299" s="111"/>
      <c r="J299" s="111"/>
      <c r="K299" s="111"/>
      <c r="L299" s="111"/>
      <c r="M299" s="111"/>
      <c r="N299" s="56"/>
      <c r="O299" s="56"/>
    </row>
    <row r="300" spans="2:15" s="29" customFormat="1" x14ac:dyDescent="0.25">
      <c r="B300" s="86" t="s">
        <v>500</v>
      </c>
      <c r="C300" s="86" t="s">
        <v>571</v>
      </c>
      <c r="D300" s="56" t="s">
        <v>391</v>
      </c>
      <c r="E300" s="86" t="s">
        <v>392</v>
      </c>
      <c r="F300" s="86"/>
      <c r="G300" s="69" t="s">
        <v>1645</v>
      </c>
      <c r="H300" s="56"/>
      <c r="I300" s="111"/>
      <c r="J300" s="111"/>
      <c r="K300" s="111"/>
      <c r="L300" s="111"/>
      <c r="M300" s="111"/>
      <c r="N300" s="56"/>
      <c r="O300" s="56"/>
    </row>
    <row r="301" spans="2:15" s="29" customFormat="1" x14ac:dyDescent="0.25">
      <c r="B301" s="86" t="s">
        <v>500</v>
      </c>
      <c r="C301" s="86" t="s">
        <v>571</v>
      </c>
      <c r="D301" s="56" t="s">
        <v>397</v>
      </c>
      <c r="E301" s="86" t="s">
        <v>398</v>
      </c>
      <c r="F301" s="86"/>
      <c r="G301" s="69" t="s">
        <v>1645</v>
      </c>
      <c r="H301" s="56"/>
      <c r="I301" s="111"/>
      <c r="J301" s="111"/>
      <c r="K301" s="111"/>
      <c r="L301" s="111"/>
      <c r="M301" s="111"/>
      <c r="N301" s="56"/>
      <c r="O301" s="56"/>
    </row>
    <row r="302" spans="2:15" s="29" customFormat="1" x14ac:dyDescent="0.25">
      <c r="B302" s="86" t="s">
        <v>500</v>
      </c>
      <c r="C302" s="86" t="s">
        <v>571</v>
      </c>
      <c r="D302" s="56" t="s">
        <v>405</v>
      </c>
      <c r="E302" s="86" t="s">
        <v>406</v>
      </c>
      <c r="F302" s="86"/>
      <c r="G302" s="69" t="s">
        <v>1645</v>
      </c>
      <c r="H302" s="56"/>
      <c r="I302" s="111"/>
      <c r="J302" s="111"/>
      <c r="K302" s="111"/>
      <c r="L302" s="111"/>
      <c r="M302" s="111"/>
      <c r="N302" s="56"/>
      <c r="O302" s="56"/>
    </row>
    <row r="303" spans="2:15" s="29" customFormat="1" x14ac:dyDescent="0.25">
      <c r="B303" s="86" t="s">
        <v>500</v>
      </c>
      <c r="C303" s="86" t="s">
        <v>571</v>
      </c>
      <c r="D303" s="56" t="s">
        <v>428</v>
      </c>
      <c r="E303" s="86" t="s">
        <v>429</v>
      </c>
      <c r="F303" s="86"/>
      <c r="G303" s="69" t="s">
        <v>1645</v>
      </c>
      <c r="H303" s="56"/>
      <c r="I303" s="111"/>
      <c r="J303" s="111"/>
      <c r="K303" s="111"/>
      <c r="L303" s="111"/>
      <c r="M303" s="111"/>
      <c r="N303" s="56"/>
      <c r="O303" s="56"/>
    </row>
    <row r="304" spans="2:15" s="29" customFormat="1" x14ac:dyDescent="0.25">
      <c r="B304" s="86" t="s">
        <v>500</v>
      </c>
      <c r="C304" s="86" t="s">
        <v>571</v>
      </c>
      <c r="D304" s="56" t="s">
        <v>426</v>
      </c>
      <c r="E304" s="86" t="s">
        <v>425</v>
      </c>
      <c r="F304" s="86"/>
      <c r="G304" s="69" t="s">
        <v>1645</v>
      </c>
      <c r="H304" s="56"/>
      <c r="I304" s="111"/>
      <c r="J304" s="111"/>
      <c r="K304" s="111"/>
      <c r="L304" s="111"/>
      <c r="M304" s="111"/>
      <c r="N304" s="56"/>
      <c r="O304" s="56"/>
    </row>
    <row r="305" spans="2:15" s="29" customFormat="1" x14ac:dyDescent="0.25">
      <c r="B305" s="86"/>
      <c r="C305" s="86"/>
      <c r="D305" s="56"/>
      <c r="E305" s="86"/>
      <c r="F305" s="86"/>
      <c r="G305" s="56"/>
      <c r="H305" s="56"/>
      <c r="I305" s="111"/>
      <c r="J305" s="111"/>
      <c r="K305" s="111"/>
      <c r="L305" s="111"/>
      <c r="M305" s="111"/>
      <c r="N305" s="56"/>
      <c r="O305" s="56"/>
    </row>
    <row r="306" spans="2:15" s="29" customFormat="1" x14ac:dyDescent="0.25">
      <c r="B306" s="86"/>
      <c r="C306" s="86"/>
      <c r="D306" s="56"/>
      <c r="E306" s="86"/>
      <c r="F306" s="86"/>
      <c r="G306" s="56"/>
      <c r="H306" s="56"/>
      <c r="I306" s="111"/>
      <c r="J306" s="111"/>
      <c r="K306" s="111"/>
      <c r="L306" s="111"/>
      <c r="M306" s="111"/>
      <c r="N306" s="56"/>
      <c r="O306" s="56"/>
    </row>
    <row r="307" spans="2:15" s="29" customFormat="1" ht="16.5" thickBot="1" x14ac:dyDescent="0.3">
      <c r="B307" s="86"/>
      <c r="C307" s="86"/>
      <c r="D307" s="56"/>
      <c r="E307" s="86"/>
      <c r="F307" s="86"/>
      <c r="G307" s="56"/>
      <c r="H307" s="56"/>
      <c r="I307" s="111"/>
      <c r="J307" s="111"/>
      <c r="K307" s="111"/>
      <c r="L307" s="111"/>
      <c r="M307" s="111"/>
      <c r="N307" s="56"/>
      <c r="O307" s="56"/>
    </row>
    <row r="308" spans="2:15" s="29" customFormat="1" ht="16.5" thickTop="1" x14ac:dyDescent="0.25">
      <c r="B308" s="128"/>
      <c r="C308" s="128"/>
      <c r="D308" s="74"/>
      <c r="E308" s="128"/>
      <c r="F308" s="128"/>
      <c r="G308" s="74"/>
      <c r="H308" s="74"/>
      <c r="I308" s="153"/>
      <c r="J308" s="153"/>
      <c r="K308" s="153"/>
      <c r="L308" s="153"/>
      <c r="M308" s="153"/>
      <c r="N308" s="74"/>
      <c r="O308" s="56"/>
    </row>
    <row r="309" spans="2:15" s="29" customFormat="1" x14ac:dyDescent="0.25">
      <c r="B309" s="86" t="s">
        <v>475</v>
      </c>
      <c r="C309" s="86" t="s">
        <v>475</v>
      </c>
      <c r="D309" s="56" t="s">
        <v>435</v>
      </c>
      <c r="E309" s="86" t="s">
        <v>436</v>
      </c>
      <c r="F309" s="86"/>
      <c r="G309" s="56">
        <v>4</v>
      </c>
      <c r="H309" s="56">
        <v>2017</v>
      </c>
      <c r="I309" s="111" t="s">
        <v>19</v>
      </c>
      <c r="J309" s="111" t="s">
        <v>1560</v>
      </c>
      <c r="K309" s="111"/>
      <c r="L309" s="111" t="s">
        <v>1559</v>
      </c>
      <c r="M309" s="111"/>
      <c r="N309" s="56"/>
      <c r="O309" s="56"/>
    </row>
    <row r="310" spans="2:15" s="29" customFormat="1" x14ac:dyDescent="0.25">
      <c r="B310" s="86" t="s">
        <v>475</v>
      </c>
      <c r="C310" s="86" t="s">
        <v>475</v>
      </c>
      <c r="D310" s="56" t="s">
        <v>443</v>
      </c>
      <c r="E310" s="86" t="s">
        <v>444</v>
      </c>
      <c r="F310" s="86"/>
      <c r="G310" s="56">
        <v>20</v>
      </c>
      <c r="H310" s="56">
        <v>2013</v>
      </c>
      <c r="I310" s="111" t="s">
        <v>480</v>
      </c>
      <c r="J310" s="111" t="s">
        <v>25</v>
      </c>
      <c r="K310" s="111" t="s">
        <v>508</v>
      </c>
      <c r="L310" s="145" t="s">
        <v>598</v>
      </c>
      <c r="M310" s="145" t="s">
        <v>597</v>
      </c>
      <c r="N310" s="111" t="s">
        <v>508</v>
      </c>
      <c r="O310" s="56"/>
    </row>
    <row r="311" spans="2:15" s="29" customFormat="1" x14ac:dyDescent="0.25">
      <c r="B311" s="56"/>
      <c r="C311" s="56"/>
      <c r="D311" s="56"/>
      <c r="E311" s="56"/>
      <c r="F311" s="56"/>
      <c r="G311" s="56"/>
      <c r="H311" s="56"/>
      <c r="I311" s="56"/>
      <c r="J311" s="56"/>
      <c r="K311" s="56"/>
      <c r="L311" s="56"/>
      <c r="M311" s="56"/>
      <c r="N311" s="56"/>
      <c r="O311" s="56"/>
    </row>
    <row r="312" spans="2:15" s="29" customFormat="1" x14ac:dyDescent="0.25">
      <c r="B312" s="56"/>
      <c r="C312" s="56"/>
      <c r="D312" s="56"/>
      <c r="E312" s="56"/>
      <c r="F312" s="56"/>
      <c r="G312" s="56"/>
      <c r="H312" s="56"/>
      <c r="I312" s="56"/>
      <c r="J312" s="56"/>
      <c r="K312" s="56"/>
      <c r="L312" s="56"/>
      <c r="M312" s="56"/>
      <c r="N312" s="56"/>
      <c r="O312" s="56"/>
    </row>
    <row r="313" spans="2:15" s="29" customFormat="1" x14ac:dyDescent="0.25">
      <c r="B313" s="86" t="s">
        <v>475</v>
      </c>
      <c r="C313" s="86" t="s">
        <v>475</v>
      </c>
      <c r="D313" s="56" t="s">
        <v>433</v>
      </c>
      <c r="E313" s="86" t="s">
        <v>434</v>
      </c>
      <c r="F313" s="86"/>
      <c r="G313" s="69" t="s">
        <v>1645</v>
      </c>
      <c r="H313" s="56"/>
      <c r="I313" s="111"/>
      <c r="J313" s="111"/>
      <c r="K313" s="111"/>
      <c r="L313" s="111"/>
      <c r="M313" s="111"/>
      <c r="N313" s="56"/>
      <c r="O313" s="56"/>
    </row>
    <row r="314" spans="2:15" s="29" customFormat="1" x14ac:dyDescent="0.25">
      <c r="B314" s="86" t="s">
        <v>475</v>
      </c>
      <c r="C314" s="86" t="s">
        <v>475</v>
      </c>
      <c r="D314" s="56" t="s">
        <v>449</v>
      </c>
      <c r="E314" s="86" t="s">
        <v>450</v>
      </c>
      <c r="F314" s="86"/>
      <c r="G314" s="69" t="s">
        <v>1645</v>
      </c>
      <c r="H314" s="56"/>
      <c r="I314" s="111"/>
      <c r="J314" s="111"/>
      <c r="K314" s="111"/>
      <c r="L314" s="111"/>
      <c r="M314" s="111"/>
      <c r="N314" s="56"/>
      <c r="O314" s="56"/>
    </row>
    <row r="315" spans="2:15" s="29" customFormat="1" x14ac:dyDescent="0.25">
      <c r="B315" s="86" t="s">
        <v>475</v>
      </c>
      <c r="C315" s="86" t="s">
        <v>475</v>
      </c>
      <c r="D315" s="56" t="s">
        <v>437</v>
      </c>
      <c r="E315" s="86" t="s">
        <v>438</v>
      </c>
      <c r="F315" s="86"/>
      <c r="G315" s="69" t="s">
        <v>1645</v>
      </c>
      <c r="H315" s="56"/>
      <c r="I315" s="111"/>
      <c r="J315" s="111"/>
      <c r="K315" s="111"/>
      <c r="L315" s="111"/>
      <c r="M315" s="111"/>
      <c r="N315" s="56"/>
      <c r="O315" s="56"/>
    </row>
    <row r="316" spans="2:15" s="29" customFormat="1" x14ac:dyDescent="0.25">
      <c r="B316" s="86" t="s">
        <v>475</v>
      </c>
      <c r="C316" s="86" t="s">
        <v>475</v>
      </c>
      <c r="D316" s="56" t="s">
        <v>451</v>
      </c>
      <c r="E316" s="86" t="s">
        <v>452</v>
      </c>
      <c r="F316" s="86"/>
      <c r="G316" s="69" t="s">
        <v>1645</v>
      </c>
      <c r="H316" s="56"/>
      <c r="I316" s="111"/>
      <c r="J316" s="111"/>
      <c r="K316" s="111"/>
      <c r="L316" s="111"/>
      <c r="M316" s="111"/>
      <c r="N316" s="56"/>
      <c r="O316" s="56"/>
    </row>
    <row r="317" spans="2:15" s="29" customFormat="1" x14ac:dyDescent="0.25">
      <c r="B317" s="86" t="s">
        <v>475</v>
      </c>
      <c r="C317" s="86" t="s">
        <v>475</v>
      </c>
      <c r="D317" s="56" t="s">
        <v>439</v>
      </c>
      <c r="E317" s="86" t="s">
        <v>440</v>
      </c>
      <c r="F317" s="86"/>
      <c r="G317" s="69" t="s">
        <v>1645</v>
      </c>
      <c r="H317" s="56" t="s">
        <v>491</v>
      </c>
      <c r="I317" s="111"/>
      <c r="J317" s="111"/>
      <c r="K317" s="111"/>
      <c r="L317" s="111"/>
      <c r="M317" s="111"/>
      <c r="N317" s="56"/>
      <c r="O317" s="56"/>
    </row>
    <row r="318" spans="2:15" s="29" customFormat="1" x14ac:dyDescent="0.25">
      <c r="B318" s="86" t="s">
        <v>475</v>
      </c>
      <c r="C318" s="86" t="s">
        <v>475</v>
      </c>
      <c r="D318" s="56" t="s">
        <v>453</v>
      </c>
      <c r="E318" s="86" t="s">
        <v>454</v>
      </c>
      <c r="F318" s="86"/>
      <c r="G318" s="69" t="s">
        <v>1645</v>
      </c>
      <c r="H318" s="56"/>
      <c r="I318" s="111"/>
      <c r="J318" s="111"/>
      <c r="K318" s="111"/>
      <c r="L318" s="111"/>
      <c r="M318" s="111"/>
      <c r="N318" s="56"/>
      <c r="O318" s="56"/>
    </row>
    <row r="319" spans="2:15" s="29" customFormat="1" x14ac:dyDescent="0.25">
      <c r="B319" s="86" t="s">
        <v>475</v>
      </c>
      <c r="C319" s="86" t="s">
        <v>475</v>
      </c>
      <c r="D319" s="56" t="s">
        <v>441</v>
      </c>
      <c r="E319" s="86" t="s">
        <v>442</v>
      </c>
      <c r="F319" s="86"/>
      <c r="G319" s="69" t="s">
        <v>1645</v>
      </c>
      <c r="H319" s="56"/>
      <c r="I319" s="111"/>
      <c r="J319" s="111"/>
      <c r="K319" s="111"/>
      <c r="L319" s="111"/>
      <c r="M319" s="111"/>
      <c r="N319" s="56"/>
      <c r="O319" s="56"/>
    </row>
    <row r="320" spans="2:15" s="29" customFormat="1" x14ac:dyDescent="0.25">
      <c r="B320" s="86" t="s">
        <v>475</v>
      </c>
      <c r="C320" s="86" t="s">
        <v>475</v>
      </c>
      <c r="D320" s="56" t="s">
        <v>455</v>
      </c>
      <c r="E320" s="86" t="s">
        <v>456</v>
      </c>
      <c r="F320" s="86"/>
      <c r="G320" s="69" t="s">
        <v>1645</v>
      </c>
      <c r="H320" s="56"/>
      <c r="I320" s="111"/>
      <c r="J320" s="111"/>
      <c r="K320" s="111"/>
      <c r="L320" s="111"/>
      <c r="M320" s="111"/>
      <c r="N320" s="56"/>
      <c r="O320" s="56"/>
    </row>
    <row r="321" spans="2:15" s="29" customFormat="1" x14ac:dyDescent="0.25">
      <c r="B321" s="86" t="s">
        <v>475</v>
      </c>
      <c r="C321" s="86" t="s">
        <v>475</v>
      </c>
      <c r="D321" s="56" t="s">
        <v>457</v>
      </c>
      <c r="E321" s="86" t="s">
        <v>458</v>
      </c>
      <c r="F321" s="86"/>
      <c r="G321" s="69" t="s">
        <v>1645</v>
      </c>
      <c r="H321" s="56"/>
      <c r="I321" s="111"/>
      <c r="J321" s="111"/>
      <c r="K321" s="111"/>
      <c r="L321" s="111"/>
      <c r="M321" s="111"/>
      <c r="N321" s="56"/>
      <c r="O321" s="56"/>
    </row>
    <row r="322" spans="2:15" s="29" customFormat="1" x14ac:dyDescent="0.25">
      <c r="B322" s="86" t="s">
        <v>475</v>
      </c>
      <c r="C322" s="86" t="s">
        <v>475</v>
      </c>
      <c r="D322" s="56" t="s">
        <v>459</v>
      </c>
      <c r="E322" s="86" t="s">
        <v>460</v>
      </c>
      <c r="F322" s="86"/>
      <c r="G322" s="69" t="s">
        <v>1645</v>
      </c>
      <c r="H322" s="56"/>
      <c r="I322" s="111"/>
      <c r="J322" s="111"/>
      <c r="K322" s="111"/>
      <c r="L322" s="111"/>
      <c r="M322" s="111"/>
      <c r="N322" s="56"/>
      <c r="O322" s="56"/>
    </row>
    <row r="323" spans="2:15" s="29" customFormat="1" x14ac:dyDescent="0.25">
      <c r="B323" s="86" t="s">
        <v>475</v>
      </c>
      <c r="C323" s="56" t="s">
        <v>475</v>
      </c>
      <c r="D323" s="56" t="s">
        <v>1619</v>
      </c>
      <c r="E323" s="56" t="s">
        <v>1620</v>
      </c>
      <c r="F323" s="86"/>
      <c r="G323" s="69" t="s">
        <v>1645</v>
      </c>
      <c r="H323" s="56"/>
      <c r="I323" s="111"/>
      <c r="J323" s="111"/>
      <c r="K323" s="111"/>
      <c r="L323" s="111"/>
      <c r="M323" s="111"/>
      <c r="N323" s="56"/>
      <c r="O323" s="56"/>
    </row>
    <row r="324" spans="2:15" s="29" customFormat="1" x14ac:dyDescent="0.25">
      <c r="B324" s="86" t="s">
        <v>475</v>
      </c>
      <c r="C324" s="86" t="s">
        <v>475</v>
      </c>
      <c r="D324" s="56" t="s">
        <v>445</v>
      </c>
      <c r="E324" s="86" t="s">
        <v>446</v>
      </c>
      <c r="F324" s="86"/>
      <c r="G324" s="69" t="s">
        <v>1645</v>
      </c>
      <c r="H324" s="56"/>
      <c r="I324" s="111"/>
      <c r="J324" s="111"/>
      <c r="K324" s="111"/>
      <c r="L324" s="111"/>
      <c r="M324" s="111"/>
      <c r="N324" s="56"/>
      <c r="O324" s="56"/>
    </row>
    <row r="325" spans="2:15" s="29" customFormat="1" x14ac:dyDescent="0.25">
      <c r="B325" s="86" t="s">
        <v>475</v>
      </c>
      <c r="C325" s="86" t="s">
        <v>475</v>
      </c>
      <c r="D325" s="56" t="s">
        <v>447</v>
      </c>
      <c r="E325" s="86" t="s">
        <v>448</v>
      </c>
      <c r="F325" s="86"/>
      <c r="G325" s="69" t="s">
        <v>1645</v>
      </c>
      <c r="H325" s="56"/>
      <c r="I325" s="111"/>
      <c r="J325" s="111"/>
      <c r="K325" s="111"/>
      <c r="L325" s="111"/>
      <c r="M325" s="111"/>
      <c r="N325" s="56"/>
      <c r="O325" s="56"/>
    </row>
    <row r="326" spans="2:15" s="29" customFormat="1" x14ac:dyDescent="0.25">
      <c r="B326" s="86" t="s">
        <v>475</v>
      </c>
      <c r="C326" s="86" t="s">
        <v>475</v>
      </c>
      <c r="D326" s="56" t="s">
        <v>461</v>
      </c>
      <c r="E326" s="86" t="s">
        <v>462</v>
      </c>
      <c r="F326" s="86"/>
      <c r="G326" s="69" t="s">
        <v>1645</v>
      </c>
      <c r="H326" s="56"/>
      <c r="I326" s="111"/>
      <c r="J326" s="111"/>
      <c r="K326" s="111"/>
      <c r="L326" s="111"/>
      <c r="M326" s="111"/>
      <c r="N326" s="56"/>
      <c r="O326" s="56"/>
    </row>
    <row r="327" spans="2:15" s="29" customFormat="1" x14ac:dyDescent="0.25">
      <c r="B327" s="86" t="s">
        <v>475</v>
      </c>
      <c r="C327" s="86" t="s">
        <v>475</v>
      </c>
      <c r="D327" s="56" t="s">
        <v>463</v>
      </c>
      <c r="E327" s="86" t="s">
        <v>464</v>
      </c>
      <c r="F327" s="86"/>
      <c r="G327" s="69" t="s">
        <v>1645</v>
      </c>
      <c r="H327" s="56"/>
      <c r="I327" s="111"/>
      <c r="J327" s="111"/>
      <c r="K327" s="111"/>
      <c r="L327" s="111"/>
      <c r="M327" s="111"/>
      <c r="N327" s="56"/>
      <c r="O327" s="56"/>
    </row>
    <row r="328" spans="2:15" s="29" customFormat="1" x14ac:dyDescent="0.25">
      <c r="B328" s="86" t="s">
        <v>475</v>
      </c>
      <c r="C328" s="86" t="s">
        <v>475</v>
      </c>
      <c r="D328" s="56" t="s">
        <v>465</v>
      </c>
      <c r="E328" s="86" t="s">
        <v>466</v>
      </c>
      <c r="F328" s="86"/>
      <c r="G328" s="69" t="s">
        <v>1645</v>
      </c>
      <c r="H328" s="56"/>
      <c r="I328" s="111"/>
      <c r="J328" s="111"/>
      <c r="K328" s="111"/>
      <c r="L328" s="111"/>
      <c r="M328" s="111"/>
      <c r="N328" s="56"/>
      <c r="O328" s="56"/>
    </row>
    <row r="329" spans="2:15" s="29" customFormat="1" x14ac:dyDescent="0.25">
      <c r="B329" s="86" t="s">
        <v>475</v>
      </c>
      <c r="C329" s="56" t="s">
        <v>475</v>
      </c>
      <c r="D329" s="56" t="s">
        <v>1621</v>
      </c>
      <c r="E329" s="56" t="s">
        <v>1622</v>
      </c>
      <c r="F329" s="86"/>
      <c r="G329" s="69" t="s">
        <v>1645</v>
      </c>
      <c r="H329" s="56"/>
      <c r="I329" s="111"/>
      <c r="J329" s="111"/>
      <c r="K329" s="111"/>
      <c r="L329" s="111"/>
      <c r="M329" s="111"/>
      <c r="N329" s="56"/>
      <c r="O329" s="56"/>
    </row>
    <row r="330" spans="2:15" s="29" customFormat="1" x14ac:dyDescent="0.25">
      <c r="B330" s="86" t="s">
        <v>475</v>
      </c>
      <c r="C330" s="86" t="s">
        <v>475</v>
      </c>
      <c r="D330" s="56" t="s">
        <v>467</v>
      </c>
      <c r="E330" s="86" t="s">
        <v>468</v>
      </c>
      <c r="F330" s="86"/>
      <c r="G330" s="69" t="s">
        <v>1645</v>
      </c>
      <c r="H330" s="56"/>
      <c r="I330" s="111"/>
      <c r="J330" s="111"/>
      <c r="K330" s="111"/>
      <c r="L330" s="111"/>
      <c r="M330" s="111"/>
      <c r="N330" s="56"/>
      <c r="O330" s="56"/>
    </row>
    <row r="331" spans="2:15" s="29" customFormat="1" x14ac:dyDescent="0.25">
      <c r="B331" s="86" t="s">
        <v>475</v>
      </c>
      <c r="C331" s="86" t="s">
        <v>475</v>
      </c>
      <c r="D331" s="56" t="s">
        <v>469</v>
      </c>
      <c r="E331" s="86" t="s">
        <v>470</v>
      </c>
      <c r="F331" s="86"/>
      <c r="G331" s="69" t="s">
        <v>1645</v>
      </c>
      <c r="H331" s="56"/>
      <c r="I331" s="111"/>
      <c r="J331" s="111"/>
      <c r="K331" s="111"/>
      <c r="L331" s="111"/>
      <c r="M331" s="111"/>
      <c r="N331" s="56"/>
      <c r="O331" s="56"/>
    </row>
    <row r="332" spans="2:15" s="29" customFormat="1" x14ac:dyDescent="0.25">
      <c r="B332" s="86" t="s">
        <v>475</v>
      </c>
      <c r="C332" s="86" t="s">
        <v>475</v>
      </c>
      <c r="D332" s="56" t="s">
        <v>471</v>
      </c>
      <c r="E332" s="86" t="s">
        <v>472</v>
      </c>
      <c r="F332" s="86"/>
      <c r="G332" s="69" t="s">
        <v>1645</v>
      </c>
      <c r="H332" s="56"/>
      <c r="I332" s="111"/>
      <c r="J332" s="111"/>
      <c r="K332" s="111"/>
      <c r="L332" s="111"/>
      <c r="M332" s="111"/>
      <c r="N332" s="56"/>
      <c r="O332" s="56"/>
    </row>
    <row r="333" spans="2:15" s="29" customFormat="1" x14ac:dyDescent="0.25">
      <c r="B333" s="86" t="s">
        <v>475</v>
      </c>
      <c r="C333" s="86" t="s">
        <v>475</v>
      </c>
      <c r="D333" s="56" t="s">
        <v>473</v>
      </c>
      <c r="E333" s="86" t="s">
        <v>474</v>
      </c>
      <c r="F333" s="86"/>
      <c r="G333" s="69" t="s">
        <v>1645</v>
      </c>
      <c r="H333" s="56"/>
      <c r="I333" s="111"/>
      <c r="J333" s="111"/>
      <c r="K333" s="111"/>
      <c r="L333" s="111"/>
      <c r="M333" s="111"/>
      <c r="N333" s="56"/>
      <c r="O333" s="56"/>
    </row>
    <row r="334" spans="2:15" s="29" customFormat="1" x14ac:dyDescent="0.25">
      <c r="B334" s="56"/>
      <c r="C334" s="56"/>
      <c r="D334" s="56"/>
      <c r="E334" s="56"/>
      <c r="F334" s="56"/>
      <c r="G334" s="56"/>
      <c r="H334" s="56"/>
      <c r="I334" s="56"/>
      <c r="J334" s="56"/>
      <c r="K334" s="56"/>
      <c r="L334" s="56"/>
      <c r="M334" s="56"/>
      <c r="N334" s="56"/>
      <c r="O334" s="56"/>
    </row>
    <row r="335" spans="2:15" s="29" customFormat="1" x14ac:dyDescent="0.25">
      <c r="B335" s="56"/>
      <c r="C335" s="56"/>
      <c r="D335" s="56"/>
      <c r="E335" s="56"/>
      <c r="F335" s="56"/>
      <c r="G335" s="56"/>
      <c r="H335" s="56"/>
      <c r="I335" s="56"/>
      <c r="J335" s="56"/>
      <c r="K335" s="56"/>
      <c r="L335" s="56"/>
      <c r="M335" s="56"/>
      <c r="N335" s="56"/>
      <c r="O335" s="56"/>
    </row>
    <row r="336" spans="2:15" s="29" customFormat="1" x14ac:dyDescent="0.25">
      <c r="B336" s="56"/>
      <c r="C336" s="56"/>
      <c r="D336" s="56"/>
      <c r="E336" s="56"/>
      <c r="F336" s="56"/>
      <c r="G336" s="56"/>
      <c r="H336" s="56"/>
      <c r="I336" s="56"/>
      <c r="J336" s="56"/>
      <c r="K336" s="56"/>
      <c r="L336" s="56"/>
      <c r="M336" s="56"/>
      <c r="N336" s="56"/>
      <c r="O336" s="56"/>
    </row>
    <row r="337" spans="2:15" s="29" customFormat="1" x14ac:dyDescent="0.25">
      <c r="B337" s="56"/>
      <c r="C337" s="56"/>
      <c r="D337" s="56"/>
      <c r="E337" s="56"/>
      <c r="F337" s="56"/>
      <c r="G337" s="56"/>
      <c r="H337" s="56"/>
      <c r="I337" s="56"/>
      <c r="J337" s="56"/>
      <c r="K337" s="56"/>
      <c r="L337" s="56"/>
      <c r="M337" s="56"/>
      <c r="N337" s="56"/>
      <c r="O337" s="56"/>
    </row>
    <row r="338" spans="2:15" s="29" customFormat="1" x14ac:dyDescent="0.25">
      <c r="B338" s="56"/>
      <c r="C338" s="56"/>
      <c r="D338" s="56"/>
      <c r="E338" s="56"/>
      <c r="F338" s="56"/>
      <c r="G338" s="56"/>
      <c r="H338" s="56"/>
      <c r="I338" s="56"/>
      <c r="J338" s="56"/>
      <c r="K338" s="56"/>
      <c r="L338" s="56"/>
      <c r="M338" s="56"/>
      <c r="N338" s="56"/>
      <c r="O338" s="56"/>
    </row>
    <row r="339" spans="2:15" s="29" customFormat="1" x14ac:dyDescent="0.25">
      <c r="B339" s="56"/>
      <c r="C339" s="56"/>
      <c r="D339" s="56"/>
      <c r="E339" s="56"/>
      <c r="F339" s="56"/>
      <c r="G339" s="56"/>
      <c r="H339" s="56"/>
      <c r="I339" s="56"/>
      <c r="J339" s="56"/>
      <c r="K339" s="56"/>
      <c r="L339" s="56"/>
      <c r="M339" s="56"/>
      <c r="N339" s="56"/>
      <c r="O339" s="56"/>
    </row>
    <row r="340" spans="2:15" s="29" customFormat="1" x14ac:dyDescent="0.25">
      <c r="B340" s="56"/>
      <c r="C340" s="56"/>
      <c r="D340" s="56"/>
      <c r="E340" s="56"/>
      <c r="F340" s="56"/>
      <c r="G340" s="56"/>
      <c r="H340" s="56"/>
      <c r="I340" s="56"/>
      <c r="J340" s="56"/>
      <c r="K340" s="56"/>
      <c r="L340" s="56"/>
      <c r="M340" s="56"/>
      <c r="N340" s="56"/>
      <c r="O340" s="56"/>
    </row>
    <row r="341" spans="2:15" s="29" customFormat="1" x14ac:dyDescent="0.25">
      <c r="B341" s="56"/>
      <c r="C341" s="56"/>
      <c r="D341" s="56"/>
      <c r="E341" s="56"/>
      <c r="F341" s="56"/>
      <c r="G341" s="56"/>
      <c r="H341" s="56"/>
      <c r="I341" s="56"/>
      <c r="J341" s="56"/>
      <c r="K341" s="56"/>
      <c r="L341" s="56"/>
      <c r="M341" s="56"/>
      <c r="N341" s="56"/>
      <c r="O341" s="56"/>
    </row>
    <row r="342" spans="2:15" s="29" customFormat="1" x14ac:dyDescent="0.25">
      <c r="B342" s="56"/>
      <c r="C342" s="56"/>
      <c r="D342" s="56"/>
      <c r="E342" s="56"/>
      <c r="F342" s="56"/>
      <c r="G342" s="56"/>
      <c r="H342" s="56"/>
      <c r="I342" s="56"/>
      <c r="J342" s="56"/>
      <c r="K342" s="56"/>
      <c r="L342" s="56"/>
      <c r="M342" s="56"/>
      <c r="N342" s="56"/>
      <c r="O342" s="56"/>
    </row>
    <row r="343" spans="2:15" s="29" customFormat="1" x14ac:dyDescent="0.25">
      <c r="B343" s="56"/>
      <c r="C343" s="56"/>
      <c r="D343" s="56"/>
      <c r="E343" s="56"/>
      <c r="F343" s="56"/>
      <c r="G343" s="56"/>
      <c r="H343" s="56"/>
      <c r="I343" s="56"/>
      <c r="J343" s="56"/>
      <c r="K343" s="56"/>
      <c r="L343" s="56"/>
      <c r="M343" s="56"/>
      <c r="N343" s="56"/>
      <c r="O343" s="56"/>
    </row>
    <row r="344" spans="2:15" s="29" customFormat="1" x14ac:dyDescent="0.25">
      <c r="B344" s="56"/>
      <c r="C344" s="56"/>
      <c r="D344" s="56"/>
      <c r="E344" s="56"/>
      <c r="F344" s="56"/>
      <c r="G344" s="56"/>
      <c r="H344" s="56"/>
      <c r="I344" s="56"/>
      <c r="J344" s="56"/>
      <c r="K344" s="56"/>
      <c r="L344" s="56"/>
      <c r="M344" s="56"/>
      <c r="N344" s="56"/>
      <c r="O344" s="56"/>
    </row>
    <row r="345" spans="2:15" s="29" customFormat="1" x14ac:dyDescent="0.25">
      <c r="B345" s="56"/>
      <c r="C345" s="56"/>
      <c r="D345" s="56"/>
      <c r="E345" s="56"/>
      <c r="F345" s="56"/>
      <c r="G345" s="56"/>
      <c r="H345" s="56"/>
      <c r="I345" s="56"/>
      <c r="J345" s="56"/>
      <c r="K345" s="56"/>
      <c r="L345" s="56"/>
      <c r="M345" s="56"/>
      <c r="N345" s="56"/>
      <c r="O345" s="56"/>
    </row>
    <row r="346" spans="2:15" s="29" customFormat="1" x14ac:dyDescent="0.25">
      <c r="B346" s="56"/>
      <c r="C346" s="56"/>
      <c r="D346" s="56"/>
      <c r="E346" s="56"/>
      <c r="F346" s="56"/>
      <c r="G346" s="56"/>
      <c r="H346" s="56"/>
      <c r="I346" s="56"/>
      <c r="J346" s="56"/>
      <c r="K346" s="56"/>
      <c r="L346" s="56"/>
      <c r="M346" s="56"/>
      <c r="N346" s="56"/>
      <c r="O346" s="56"/>
    </row>
    <row r="347" spans="2:15" s="29" customFormat="1" x14ac:dyDescent="0.25">
      <c r="B347" s="56"/>
      <c r="C347" s="56"/>
      <c r="D347" s="56"/>
      <c r="E347" s="56"/>
      <c r="F347" s="56"/>
      <c r="G347" s="56"/>
      <c r="H347" s="56"/>
      <c r="I347" s="56"/>
      <c r="J347" s="56"/>
      <c r="K347" s="56"/>
      <c r="L347" s="56"/>
      <c r="M347" s="56"/>
      <c r="N347" s="56"/>
      <c r="O347" s="56"/>
    </row>
    <row r="348" spans="2:15" s="29" customFormat="1" x14ac:dyDescent="0.25">
      <c r="B348" s="56"/>
      <c r="C348" s="56"/>
      <c r="D348" s="56"/>
      <c r="E348" s="56"/>
      <c r="F348" s="56"/>
      <c r="G348" s="56"/>
      <c r="H348" s="56"/>
      <c r="I348" s="56"/>
      <c r="J348" s="56"/>
      <c r="K348" s="56"/>
      <c r="L348" s="56"/>
      <c r="M348" s="56"/>
      <c r="N348" s="56"/>
      <c r="O348" s="56"/>
    </row>
    <row r="349" spans="2:15" s="29" customFormat="1" x14ac:dyDescent="0.25">
      <c r="B349" s="56"/>
      <c r="C349" s="56"/>
      <c r="D349" s="56"/>
      <c r="E349" s="56"/>
      <c r="F349" s="56"/>
      <c r="G349" s="56"/>
      <c r="H349" s="56"/>
      <c r="I349" s="56"/>
      <c r="J349" s="56"/>
      <c r="K349" s="56"/>
      <c r="L349" s="56"/>
      <c r="M349" s="56"/>
      <c r="N349" s="56"/>
      <c r="O349" s="56"/>
    </row>
    <row r="350" spans="2:15" s="29" customFormat="1" x14ac:dyDescent="0.25">
      <c r="B350" s="56"/>
      <c r="C350" s="56"/>
      <c r="D350" s="56"/>
      <c r="E350" s="56"/>
      <c r="F350" s="56"/>
      <c r="G350" s="56"/>
      <c r="H350" s="56"/>
      <c r="I350" s="56"/>
      <c r="J350" s="56"/>
      <c r="K350" s="56"/>
      <c r="L350" s="56"/>
      <c r="M350" s="56"/>
      <c r="N350" s="56"/>
      <c r="O350" s="56"/>
    </row>
    <row r="351" spans="2:15" s="29" customFormat="1" x14ac:dyDescent="0.25">
      <c r="B351" s="56"/>
      <c r="C351" s="56"/>
      <c r="D351" s="56"/>
      <c r="E351" s="56"/>
      <c r="F351" s="56"/>
      <c r="G351" s="56"/>
      <c r="H351" s="56"/>
      <c r="I351" s="56"/>
      <c r="J351" s="56"/>
      <c r="K351" s="56"/>
      <c r="L351" s="56"/>
      <c r="M351" s="56"/>
      <c r="N351" s="56"/>
      <c r="O351" s="56"/>
    </row>
    <row r="352" spans="2:15" s="29" customFormat="1" x14ac:dyDescent="0.25">
      <c r="B352" s="56"/>
      <c r="C352" s="56"/>
      <c r="D352" s="56"/>
      <c r="E352" s="56"/>
      <c r="F352" s="56"/>
      <c r="G352" s="56"/>
      <c r="H352" s="56"/>
      <c r="I352" s="56"/>
      <c r="J352" s="56"/>
      <c r="K352" s="56"/>
      <c r="L352" s="56"/>
      <c r="M352" s="56"/>
      <c r="N352" s="56"/>
      <c r="O352" s="56"/>
    </row>
    <row r="353" spans="2:15" s="29" customFormat="1" x14ac:dyDescent="0.25">
      <c r="B353" s="56"/>
      <c r="C353" s="56"/>
      <c r="D353" s="56"/>
      <c r="E353" s="56"/>
      <c r="F353" s="56"/>
      <c r="G353" s="56"/>
      <c r="H353" s="56"/>
      <c r="I353" s="56"/>
      <c r="J353" s="56"/>
      <c r="K353" s="56"/>
      <c r="L353" s="56"/>
      <c r="M353" s="56"/>
      <c r="N353" s="56"/>
      <c r="O353" s="56"/>
    </row>
    <row r="354" spans="2:15" s="29" customFormat="1" x14ac:dyDescent="0.25">
      <c r="B354" s="56"/>
      <c r="C354" s="56"/>
      <c r="D354" s="56"/>
      <c r="E354" s="56"/>
      <c r="F354" s="56"/>
      <c r="G354" s="56"/>
      <c r="H354" s="56"/>
      <c r="I354" s="56"/>
      <c r="J354" s="56"/>
      <c r="K354" s="56"/>
      <c r="L354" s="56"/>
      <c r="M354" s="56"/>
      <c r="N354" s="56"/>
      <c r="O354" s="56"/>
    </row>
    <row r="355" spans="2:15" s="29" customFormat="1" x14ac:dyDescent="0.25">
      <c r="B355" s="56"/>
      <c r="C355" s="56"/>
      <c r="D355" s="56"/>
      <c r="E355" s="56"/>
      <c r="F355" s="56"/>
      <c r="G355" s="56"/>
      <c r="H355" s="56"/>
      <c r="I355" s="56"/>
      <c r="J355" s="56"/>
      <c r="K355" s="56"/>
      <c r="L355" s="56"/>
      <c r="M355" s="56"/>
      <c r="N355" s="56"/>
      <c r="O355" s="56"/>
    </row>
    <row r="356" spans="2:15" s="29" customFormat="1" x14ac:dyDescent="0.25">
      <c r="B356" s="56"/>
      <c r="C356" s="56"/>
      <c r="D356" s="56"/>
      <c r="E356" s="56"/>
      <c r="F356" s="56"/>
      <c r="G356" s="56"/>
      <c r="H356" s="56"/>
      <c r="I356" s="56"/>
      <c r="J356" s="56"/>
      <c r="K356" s="56"/>
      <c r="L356" s="56"/>
      <c r="M356" s="56"/>
      <c r="N356" s="56"/>
      <c r="O356" s="56"/>
    </row>
    <row r="357" spans="2:15" s="29" customFormat="1" x14ac:dyDescent="0.25">
      <c r="B357" s="56"/>
      <c r="C357" s="56"/>
      <c r="D357" s="56"/>
      <c r="E357" s="56"/>
      <c r="F357" s="56"/>
      <c r="G357" s="56"/>
      <c r="H357" s="56"/>
      <c r="I357" s="56"/>
      <c r="J357" s="56"/>
      <c r="K357" s="56"/>
      <c r="L357" s="56"/>
      <c r="M357" s="56"/>
      <c r="N357" s="56"/>
      <c r="O357" s="56"/>
    </row>
    <row r="358" spans="2:15" s="29" customFormat="1" x14ac:dyDescent="0.25">
      <c r="B358" s="56"/>
      <c r="C358" s="56"/>
      <c r="D358" s="56"/>
      <c r="E358" s="56"/>
      <c r="F358" s="56"/>
      <c r="G358" s="56"/>
      <c r="H358" s="56"/>
      <c r="I358" s="56"/>
      <c r="J358" s="56"/>
      <c r="K358" s="56"/>
      <c r="L358" s="56"/>
      <c r="M358" s="56"/>
      <c r="N358" s="56"/>
      <c r="O358" s="56"/>
    </row>
    <row r="359" spans="2:15" s="29" customFormat="1" x14ac:dyDescent="0.25">
      <c r="B359" s="56"/>
      <c r="C359" s="56"/>
      <c r="D359" s="56"/>
      <c r="E359" s="56"/>
      <c r="F359" s="56"/>
      <c r="G359" s="56"/>
      <c r="H359" s="56"/>
      <c r="I359" s="56"/>
      <c r="J359" s="56"/>
      <c r="K359" s="56"/>
      <c r="L359" s="56"/>
      <c r="M359" s="56"/>
      <c r="N359" s="56"/>
      <c r="O359" s="56"/>
    </row>
    <row r="360" spans="2:15" s="29" customFormat="1" x14ac:dyDescent="0.25">
      <c r="B360" s="56"/>
      <c r="C360" s="56"/>
      <c r="D360" s="56"/>
      <c r="E360" s="56"/>
      <c r="F360" s="56"/>
      <c r="G360" s="56"/>
      <c r="H360" s="56"/>
      <c r="I360" s="56"/>
      <c r="J360" s="56"/>
      <c r="K360" s="56"/>
      <c r="L360" s="56"/>
      <c r="M360" s="56"/>
      <c r="N360" s="56"/>
      <c r="O360" s="56"/>
    </row>
    <row r="361" spans="2:15" s="29" customFormat="1" x14ac:dyDescent="0.25">
      <c r="B361" s="56"/>
      <c r="C361" s="56"/>
      <c r="D361" s="56"/>
      <c r="E361" s="56"/>
      <c r="F361" s="56"/>
      <c r="G361" s="56"/>
      <c r="H361" s="56"/>
      <c r="I361" s="56"/>
      <c r="J361" s="56"/>
      <c r="K361" s="56"/>
      <c r="L361" s="56"/>
      <c r="M361" s="56"/>
      <c r="N361" s="56"/>
      <c r="O361" s="56"/>
    </row>
    <row r="362" spans="2:15" s="29" customFormat="1" x14ac:dyDescent="0.25">
      <c r="B362" s="56"/>
      <c r="C362" s="56"/>
      <c r="D362" s="56"/>
      <c r="E362" s="56"/>
      <c r="F362" s="56"/>
      <c r="G362" s="56"/>
      <c r="H362" s="56"/>
      <c r="I362" s="56"/>
      <c r="J362" s="56"/>
      <c r="K362" s="56"/>
      <c r="L362" s="56"/>
      <c r="M362" s="56"/>
      <c r="N362" s="56"/>
      <c r="O362" s="56"/>
    </row>
    <row r="363" spans="2:15" s="29" customFormat="1" x14ac:dyDescent="0.25">
      <c r="B363" s="56"/>
      <c r="C363" s="56"/>
      <c r="D363" s="56"/>
      <c r="E363" s="56"/>
      <c r="F363" s="56"/>
      <c r="G363" s="56"/>
      <c r="H363" s="56"/>
      <c r="I363" s="56"/>
      <c r="J363" s="56"/>
      <c r="K363" s="56"/>
      <c r="L363" s="56"/>
      <c r="M363" s="56"/>
      <c r="N363" s="56"/>
      <c r="O363" s="56"/>
    </row>
    <row r="364" spans="2:15" s="29" customFormat="1" x14ac:dyDescent="0.25">
      <c r="B364" s="56"/>
      <c r="C364" s="56"/>
      <c r="D364" s="56"/>
      <c r="E364" s="56"/>
      <c r="F364" s="56"/>
      <c r="G364" s="56"/>
      <c r="H364" s="56"/>
      <c r="I364" s="56"/>
      <c r="J364" s="56"/>
      <c r="K364" s="56"/>
      <c r="L364" s="56"/>
      <c r="M364" s="56"/>
      <c r="N364" s="56"/>
      <c r="O364" s="56"/>
    </row>
    <row r="365" spans="2:15" s="29" customFormat="1" x14ac:dyDescent="0.25">
      <c r="B365" s="56"/>
      <c r="C365" s="56"/>
      <c r="D365" s="56"/>
      <c r="E365" s="56"/>
      <c r="F365" s="56"/>
      <c r="G365" s="56"/>
      <c r="H365" s="56"/>
      <c r="I365" s="56"/>
      <c r="J365" s="56"/>
      <c r="K365" s="56"/>
      <c r="L365" s="56"/>
      <c r="M365" s="56"/>
      <c r="N365" s="56"/>
      <c r="O365" s="56"/>
    </row>
    <row r="366" spans="2:15" s="29" customFormat="1" x14ac:dyDescent="0.25">
      <c r="B366" s="56"/>
      <c r="C366" s="56"/>
      <c r="D366" s="56"/>
      <c r="E366" s="56"/>
      <c r="F366" s="56"/>
      <c r="G366" s="56"/>
      <c r="H366" s="56"/>
      <c r="I366" s="56"/>
      <c r="J366" s="56"/>
      <c r="K366" s="56"/>
      <c r="L366" s="56"/>
      <c r="M366" s="56"/>
      <c r="N366" s="56"/>
      <c r="O366" s="56"/>
    </row>
    <row r="367" spans="2:15" s="29" customFormat="1" x14ac:dyDescent="0.25">
      <c r="B367" s="56"/>
      <c r="C367" s="56"/>
      <c r="D367" s="56"/>
      <c r="E367" s="56"/>
      <c r="F367" s="56"/>
      <c r="G367" s="56"/>
      <c r="H367" s="56"/>
      <c r="I367" s="56"/>
      <c r="J367" s="56"/>
      <c r="K367" s="56"/>
      <c r="L367" s="56"/>
      <c r="M367" s="56"/>
      <c r="N367" s="56"/>
      <c r="O367" s="56"/>
    </row>
    <row r="368" spans="2:15" s="29" customFormat="1" x14ac:dyDescent="0.25">
      <c r="B368" s="56"/>
      <c r="C368" s="56"/>
      <c r="D368" s="56"/>
      <c r="E368" s="56"/>
      <c r="F368" s="56"/>
      <c r="G368" s="56"/>
      <c r="H368" s="56"/>
      <c r="I368" s="56"/>
      <c r="J368" s="56"/>
      <c r="K368" s="56"/>
      <c r="L368" s="56"/>
      <c r="M368" s="56"/>
      <c r="N368" s="56"/>
      <c r="O368" s="56"/>
    </row>
    <row r="369" spans="2:15" s="29" customFormat="1" x14ac:dyDescent="0.25">
      <c r="B369" s="56"/>
      <c r="C369" s="56"/>
      <c r="D369" s="56"/>
      <c r="E369" s="56"/>
      <c r="F369" s="56"/>
      <c r="G369" s="56"/>
      <c r="H369" s="56"/>
      <c r="I369" s="56"/>
      <c r="J369" s="56"/>
      <c r="K369" s="56"/>
      <c r="L369" s="56"/>
      <c r="M369" s="56"/>
      <c r="N369" s="56"/>
      <c r="O369" s="56"/>
    </row>
    <row r="370" spans="2:15" s="29" customFormat="1" x14ac:dyDescent="0.25">
      <c r="B370" s="56"/>
      <c r="C370" s="56"/>
      <c r="D370" s="56"/>
      <c r="E370" s="56"/>
      <c r="F370" s="56"/>
      <c r="G370" s="56"/>
      <c r="H370" s="56"/>
      <c r="I370" s="56"/>
      <c r="J370" s="56"/>
      <c r="K370" s="56"/>
      <c r="L370" s="56"/>
      <c r="M370" s="56"/>
      <c r="N370" s="56"/>
      <c r="O370" s="56"/>
    </row>
    <row r="371" spans="2:15" s="29" customFormat="1" x14ac:dyDescent="0.25">
      <c r="B371" s="56"/>
      <c r="C371" s="56"/>
      <c r="D371" s="56"/>
      <c r="E371" s="56"/>
      <c r="F371" s="56"/>
      <c r="G371" s="56"/>
      <c r="H371" s="56"/>
      <c r="I371" s="56"/>
      <c r="J371" s="56"/>
      <c r="K371" s="56"/>
      <c r="L371" s="56"/>
      <c r="M371" s="56"/>
      <c r="N371" s="56"/>
      <c r="O371" s="56"/>
    </row>
    <row r="372" spans="2:15" s="29" customFormat="1" x14ac:dyDescent="0.25">
      <c r="B372" s="56"/>
      <c r="C372" s="56"/>
      <c r="D372" s="56"/>
      <c r="E372" s="56"/>
      <c r="F372" s="56"/>
      <c r="G372" s="56"/>
      <c r="H372" s="56"/>
      <c r="I372" s="56"/>
      <c r="J372" s="56"/>
      <c r="K372" s="56"/>
      <c r="L372" s="56"/>
      <c r="M372" s="56"/>
      <c r="N372" s="56"/>
      <c r="O372" s="56"/>
    </row>
    <row r="373" spans="2:15" s="29" customFormat="1" x14ac:dyDescent="0.25">
      <c r="B373" s="56"/>
      <c r="C373" s="56"/>
      <c r="D373" s="56"/>
      <c r="E373" s="56"/>
      <c r="F373" s="56"/>
      <c r="G373" s="56"/>
      <c r="H373" s="56"/>
      <c r="I373" s="56"/>
      <c r="J373" s="56"/>
      <c r="K373" s="56"/>
      <c r="L373" s="56"/>
      <c r="M373" s="56"/>
      <c r="N373" s="56"/>
      <c r="O373" s="56"/>
    </row>
    <row r="374" spans="2:15" s="29" customFormat="1" x14ac:dyDescent="0.25">
      <c r="B374" s="56"/>
      <c r="C374" s="56"/>
      <c r="D374" s="56"/>
      <c r="E374" s="56"/>
      <c r="F374" s="56"/>
      <c r="G374" s="56"/>
      <c r="H374" s="56"/>
      <c r="I374" s="56"/>
      <c r="J374" s="56"/>
      <c r="K374" s="56"/>
      <c r="L374" s="56"/>
      <c r="M374" s="56"/>
      <c r="N374" s="56"/>
      <c r="O374" s="56"/>
    </row>
    <row r="375" spans="2:15" s="29" customFormat="1" x14ac:dyDescent="0.25">
      <c r="B375" s="56"/>
      <c r="C375" s="56"/>
      <c r="D375" s="56"/>
      <c r="E375" s="56"/>
      <c r="F375" s="56"/>
      <c r="G375" s="56"/>
      <c r="H375" s="56"/>
      <c r="I375" s="56"/>
      <c r="J375" s="56"/>
      <c r="K375" s="56"/>
      <c r="L375" s="56"/>
      <c r="M375" s="56"/>
      <c r="N375" s="56"/>
      <c r="O375" s="56"/>
    </row>
    <row r="376" spans="2:15" s="29" customFormat="1" x14ac:dyDescent="0.25">
      <c r="B376" s="56"/>
      <c r="C376" s="56"/>
      <c r="D376" s="56"/>
      <c r="E376" s="56"/>
      <c r="F376" s="56"/>
      <c r="G376" s="56"/>
      <c r="H376" s="56"/>
      <c r="I376" s="56"/>
      <c r="J376" s="56"/>
      <c r="K376" s="56"/>
      <c r="L376" s="56"/>
      <c r="M376" s="56"/>
      <c r="N376" s="56"/>
      <c r="O376" s="56"/>
    </row>
    <row r="377" spans="2:15" s="29" customFormat="1" x14ac:dyDescent="0.25">
      <c r="B377" s="56"/>
      <c r="C377" s="56"/>
      <c r="D377" s="56"/>
      <c r="E377" s="56"/>
      <c r="F377" s="56"/>
      <c r="G377" s="56"/>
      <c r="H377" s="56"/>
      <c r="I377" s="56"/>
      <c r="J377" s="56"/>
      <c r="K377" s="56"/>
      <c r="L377" s="56"/>
      <c r="M377" s="56"/>
      <c r="N377" s="56"/>
      <c r="O377" s="56"/>
    </row>
    <row r="378" spans="2:15" s="29" customFormat="1" x14ac:dyDescent="0.25">
      <c r="B378" s="56"/>
      <c r="C378" s="56"/>
      <c r="D378" s="56"/>
      <c r="E378" s="56"/>
      <c r="F378" s="56"/>
      <c r="G378" s="56"/>
      <c r="H378" s="56"/>
      <c r="I378" s="56"/>
      <c r="J378" s="56"/>
      <c r="K378" s="56"/>
      <c r="L378" s="56"/>
      <c r="M378" s="56"/>
      <c r="N378" s="56"/>
      <c r="O378" s="56"/>
    </row>
    <row r="379" spans="2:15" s="29" customFormat="1" x14ac:dyDescent="0.25">
      <c r="B379" s="56"/>
      <c r="C379" s="56"/>
      <c r="D379" s="56"/>
      <c r="E379" s="56"/>
      <c r="F379" s="56"/>
      <c r="G379" s="56"/>
      <c r="H379" s="56"/>
      <c r="I379" s="56"/>
      <c r="J379" s="56"/>
      <c r="K379" s="56"/>
      <c r="L379" s="56"/>
      <c r="M379" s="56"/>
      <c r="N379" s="56"/>
      <c r="O379" s="56"/>
    </row>
    <row r="380" spans="2:15" s="29" customFormat="1" x14ac:dyDescent="0.25">
      <c r="B380" s="56"/>
      <c r="C380" s="56"/>
      <c r="D380" s="56"/>
      <c r="E380" s="56"/>
      <c r="F380" s="56"/>
      <c r="G380" s="56"/>
      <c r="H380" s="56"/>
      <c r="I380" s="56"/>
      <c r="J380" s="56"/>
      <c r="K380" s="56"/>
      <c r="L380" s="56"/>
      <c r="M380" s="56"/>
      <c r="N380" s="56"/>
      <c r="O380" s="56"/>
    </row>
    <row r="381" spans="2:15" s="29" customFormat="1" x14ac:dyDescent="0.25">
      <c r="B381" s="56"/>
      <c r="C381" s="56"/>
      <c r="D381" s="56"/>
      <c r="E381" s="56"/>
      <c r="F381" s="56"/>
      <c r="G381" s="56"/>
      <c r="H381" s="56"/>
      <c r="I381" s="56"/>
      <c r="J381" s="56"/>
      <c r="K381" s="56"/>
      <c r="L381" s="56"/>
      <c r="M381" s="56"/>
      <c r="N381" s="56"/>
      <c r="O381" s="56"/>
    </row>
    <row r="382" spans="2:15" s="29" customFormat="1" x14ac:dyDescent="0.25">
      <c r="B382" s="56"/>
      <c r="C382" s="56"/>
      <c r="D382" s="56"/>
      <c r="E382" s="56"/>
      <c r="F382" s="56"/>
      <c r="G382" s="56"/>
      <c r="H382" s="56"/>
      <c r="I382" s="56"/>
      <c r="J382" s="56"/>
      <c r="K382" s="56"/>
      <c r="L382" s="56"/>
      <c r="M382" s="56"/>
      <c r="N382" s="56"/>
      <c r="O382" s="56"/>
    </row>
    <row r="383" spans="2:15" s="29" customFormat="1" x14ac:dyDescent="0.25">
      <c r="B383" s="56"/>
      <c r="C383" s="56"/>
      <c r="D383" s="56"/>
      <c r="E383" s="56"/>
      <c r="F383" s="56"/>
      <c r="G383" s="56"/>
      <c r="H383" s="56"/>
      <c r="I383" s="56"/>
      <c r="J383" s="56"/>
      <c r="K383" s="56"/>
      <c r="L383" s="56"/>
      <c r="M383" s="56"/>
      <c r="N383" s="56"/>
      <c r="O383" s="56"/>
    </row>
    <row r="384" spans="2:15" s="29" customFormat="1" x14ac:dyDescent="0.25">
      <c r="B384" s="56"/>
      <c r="C384" s="56"/>
      <c r="D384" s="56"/>
      <c r="E384" s="56"/>
      <c r="F384" s="56"/>
      <c r="G384" s="56"/>
      <c r="H384" s="56"/>
      <c r="I384" s="56"/>
      <c r="J384" s="56"/>
      <c r="K384" s="56"/>
      <c r="L384" s="56"/>
      <c r="M384" s="56"/>
      <c r="N384" s="56"/>
      <c r="O384" s="56"/>
    </row>
    <row r="385" spans="2:15" s="29" customFormat="1" x14ac:dyDescent="0.25">
      <c r="B385" s="56"/>
      <c r="C385" s="56"/>
      <c r="D385" s="56"/>
      <c r="E385" s="56"/>
      <c r="F385" s="56"/>
      <c r="G385" s="56"/>
      <c r="H385" s="56"/>
      <c r="I385" s="56"/>
      <c r="J385" s="56"/>
      <c r="K385" s="56"/>
      <c r="L385" s="56"/>
      <c r="M385" s="56"/>
      <c r="N385" s="56"/>
      <c r="O385" s="56"/>
    </row>
    <row r="386" spans="2:15" s="29" customFormat="1" x14ac:dyDescent="0.25">
      <c r="B386" s="56"/>
      <c r="C386" s="56"/>
      <c r="D386" s="56"/>
      <c r="E386" s="56"/>
      <c r="F386" s="56"/>
      <c r="G386" s="56"/>
      <c r="H386" s="56"/>
      <c r="I386" s="56"/>
      <c r="J386" s="56"/>
      <c r="K386" s="56"/>
      <c r="L386" s="56"/>
      <c r="M386" s="56"/>
      <c r="N386" s="56"/>
      <c r="O386" s="56"/>
    </row>
    <row r="387" spans="2:15" s="29" customFormat="1" x14ac:dyDescent="0.25">
      <c r="B387" s="56"/>
      <c r="C387" s="56"/>
      <c r="D387" s="56"/>
      <c r="E387" s="56"/>
      <c r="F387" s="56"/>
      <c r="G387" s="56"/>
      <c r="H387" s="56"/>
      <c r="I387" s="56"/>
      <c r="J387" s="56"/>
      <c r="K387" s="56"/>
      <c r="L387" s="56"/>
      <c r="M387" s="56"/>
      <c r="N387" s="56"/>
      <c r="O387" s="56"/>
    </row>
    <row r="388" spans="2:15" s="29" customFormat="1" x14ac:dyDescent="0.25">
      <c r="B388" s="56"/>
      <c r="C388" s="56"/>
      <c r="D388" s="56"/>
      <c r="E388" s="56"/>
      <c r="F388" s="56"/>
      <c r="G388" s="56"/>
      <c r="H388" s="56"/>
      <c r="I388" s="56"/>
      <c r="J388" s="56"/>
      <c r="K388" s="56"/>
      <c r="L388" s="56"/>
      <c r="M388" s="56"/>
      <c r="N388" s="56"/>
      <c r="O388" s="56"/>
    </row>
    <row r="389" spans="2:15" s="29" customFormat="1" x14ac:dyDescent="0.25">
      <c r="B389" s="56"/>
      <c r="C389" s="56"/>
      <c r="D389" s="56"/>
      <c r="E389" s="56"/>
      <c r="F389" s="56"/>
      <c r="G389" s="56"/>
      <c r="H389" s="56"/>
      <c r="I389" s="56"/>
      <c r="J389" s="56"/>
      <c r="K389" s="56"/>
      <c r="L389" s="56"/>
      <c r="M389" s="56"/>
      <c r="N389" s="56"/>
      <c r="O389" s="56"/>
    </row>
    <row r="390" spans="2:15" s="29" customFormat="1" x14ac:dyDescent="0.25">
      <c r="B390" s="56"/>
      <c r="C390" s="56"/>
      <c r="D390" s="56"/>
      <c r="E390" s="56"/>
      <c r="F390" s="56"/>
      <c r="G390" s="56"/>
      <c r="H390" s="56"/>
      <c r="I390" s="56"/>
      <c r="J390" s="56"/>
      <c r="K390" s="56"/>
      <c r="L390" s="56"/>
      <c r="M390" s="56"/>
      <c r="N390" s="56"/>
      <c r="O390" s="56"/>
    </row>
    <row r="391" spans="2:15" s="29" customFormat="1" x14ac:dyDescent="0.25">
      <c r="B391" s="56"/>
      <c r="C391" s="56"/>
      <c r="D391" s="56"/>
      <c r="E391" s="56"/>
      <c r="F391" s="56"/>
      <c r="G391" s="56"/>
      <c r="H391" s="56"/>
      <c r="I391" s="56"/>
      <c r="J391" s="56"/>
      <c r="K391" s="56"/>
      <c r="L391" s="56"/>
      <c r="M391" s="56"/>
      <c r="N391" s="56"/>
      <c r="O391" s="56"/>
    </row>
    <row r="392" spans="2:15" s="29" customFormat="1" x14ac:dyDescent="0.25">
      <c r="B392" s="56"/>
      <c r="C392" s="56"/>
      <c r="D392" s="56"/>
      <c r="E392" s="56"/>
      <c r="F392" s="56"/>
      <c r="G392" s="56"/>
      <c r="H392" s="56"/>
      <c r="I392" s="56"/>
      <c r="J392" s="56"/>
      <c r="K392" s="56"/>
      <c r="L392" s="56"/>
      <c r="M392" s="56"/>
      <c r="N392" s="56"/>
      <c r="O392" s="56"/>
    </row>
    <row r="393" spans="2:15" s="29" customFormat="1" x14ac:dyDescent="0.25">
      <c r="B393" s="56"/>
      <c r="C393" s="56"/>
      <c r="D393" s="56"/>
      <c r="E393" s="56"/>
      <c r="F393" s="56"/>
      <c r="G393" s="56"/>
      <c r="H393" s="56"/>
      <c r="I393" s="56"/>
      <c r="J393" s="56"/>
      <c r="K393" s="56"/>
      <c r="L393" s="56"/>
      <c r="M393" s="56"/>
      <c r="N393" s="56"/>
      <c r="O393" s="56"/>
    </row>
    <row r="394" spans="2:15" s="29" customFormat="1" x14ac:dyDescent="0.25">
      <c r="B394" s="56"/>
      <c r="C394" s="56"/>
      <c r="D394" s="56"/>
      <c r="E394" s="56"/>
      <c r="F394" s="56"/>
      <c r="G394" s="56"/>
      <c r="H394" s="56"/>
      <c r="I394" s="56"/>
      <c r="J394" s="56"/>
      <c r="K394" s="56"/>
      <c r="L394" s="56"/>
      <c r="M394" s="56"/>
      <c r="N394" s="56"/>
      <c r="O394" s="56"/>
    </row>
    <row r="395" spans="2:15" s="29" customFormat="1" x14ac:dyDescent="0.25">
      <c r="B395" s="56"/>
      <c r="C395" s="56"/>
      <c r="D395" s="56"/>
      <c r="E395" s="56"/>
      <c r="F395" s="56"/>
      <c r="G395" s="56"/>
      <c r="H395" s="56"/>
      <c r="I395" s="56"/>
      <c r="J395" s="56"/>
      <c r="K395" s="56"/>
      <c r="L395" s="56"/>
      <c r="M395" s="56"/>
      <c r="N395" s="56"/>
      <c r="O395" s="56"/>
    </row>
    <row r="396" spans="2:15" s="29" customFormat="1" x14ac:dyDescent="0.25">
      <c r="B396" s="56"/>
      <c r="C396" s="56"/>
      <c r="D396" s="56"/>
      <c r="E396" s="56"/>
      <c r="F396" s="56"/>
      <c r="G396" s="56"/>
      <c r="H396" s="56"/>
      <c r="I396" s="56"/>
      <c r="J396" s="56"/>
      <c r="K396" s="56"/>
      <c r="L396" s="56"/>
      <c r="M396" s="56"/>
      <c r="N396" s="56"/>
      <c r="O396" s="56"/>
    </row>
    <row r="397" spans="2:15" s="29" customFormat="1" x14ac:dyDescent="0.25">
      <c r="B397" s="56"/>
      <c r="C397" s="56"/>
      <c r="D397" s="56"/>
      <c r="E397" s="56"/>
      <c r="F397" s="56"/>
      <c r="G397" s="56"/>
      <c r="H397" s="56"/>
      <c r="I397" s="56"/>
      <c r="J397" s="56"/>
      <c r="K397" s="56"/>
      <c r="L397" s="56"/>
      <c r="M397" s="56"/>
      <c r="N397" s="56"/>
      <c r="O397" s="56"/>
    </row>
    <row r="398" spans="2:15" s="29" customFormat="1" x14ac:dyDescent="0.25">
      <c r="B398" s="56"/>
      <c r="C398" s="56"/>
      <c r="D398" s="56"/>
      <c r="E398" s="56"/>
      <c r="F398" s="56"/>
      <c r="G398" s="56"/>
      <c r="H398" s="56"/>
      <c r="I398" s="56"/>
      <c r="J398" s="56"/>
      <c r="K398" s="56"/>
      <c r="L398" s="56"/>
      <c r="M398" s="56"/>
      <c r="N398" s="56"/>
      <c r="O398" s="56"/>
    </row>
    <row r="399" spans="2:15" s="29" customFormat="1" x14ac:dyDescent="0.25">
      <c r="B399" s="56"/>
      <c r="C399" s="56"/>
      <c r="D399" s="56"/>
      <c r="E399" s="56"/>
      <c r="F399" s="56"/>
      <c r="G399" s="56"/>
      <c r="H399" s="56"/>
      <c r="I399" s="56"/>
      <c r="J399" s="56"/>
      <c r="K399" s="56"/>
      <c r="L399" s="56"/>
      <c r="M399" s="56"/>
      <c r="N399" s="56"/>
      <c r="O399" s="56"/>
    </row>
    <row r="400" spans="2:15" s="29" customFormat="1" x14ac:dyDescent="0.25">
      <c r="B400" s="56"/>
      <c r="C400" s="56"/>
      <c r="D400" s="56"/>
      <c r="E400" s="56"/>
      <c r="F400" s="56"/>
      <c r="G400" s="56"/>
      <c r="H400" s="56"/>
      <c r="I400" s="56"/>
      <c r="J400" s="56"/>
      <c r="K400" s="56"/>
      <c r="L400" s="56"/>
      <c r="M400" s="56"/>
      <c r="N400" s="56"/>
      <c r="O400" s="56"/>
    </row>
    <row r="401" spans="2:15" s="29" customFormat="1" x14ac:dyDescent="0.25">
      <c r="B401" s="56"/>
      <c r="C401" s="56"/>
      <c r="D401" s="56"/>
      <c r="E401" s="56"/>
      <c r="F401" s="56"/>
      <c r="G401" s="56"/>
      <c r="H401" s="56"/>
      <c r="I401" s="56"/>
      <c r="J401" s="56"/>
      <c r="K401" s="56"/>
      <c r="L401" s="56"/>
      <c r="M401" s="56"/>
      <c r="N401" s="56"/>
      <c r="O401" s="56"/>
    </row>
    <row r="402" spans="2:15" s="29" customFormat="1" x14ac:dyDescent="0.25">
      <c r="B402" s="56"/>
      <c r="C402" s="56"/>
      <c r="D402" s="56"/>
      <c r="E402" s="56"/>
      <c r="F402" s="56"/>
      <c r="G402" s="56"/>
      <c r="H402" s="56"/>
      <c r="I402" s="56"/>
      <c r="J402" s="56"/>
      <c r="K402" s="56"/>
      <c r="L402" s="56"/>
      <c r="M402" s="56"/>
      <c r="N402" s="56"/>
      <c r="O402" s="56"/>
    </row>
    <row r="403" spans="2:15" s="29" customFormat="1" x14ac:dyDescent="0.25">
      <c r="B403" s="56"/>
      <c r="C403" s="56"/>
      <c r="D403" s="56"/>
      <c r="E403" s="56"/>
      <c r="F403" s="56"/>
      <c r="G403" s="56"/>
      <c r="H403" s="56"/>
      <c r="I403" s="56"/>
      <c r="J403" s="56"/>
      <c r="K403" s="56"/>
      <c r="L403" s="56"/>
      <c r="M403" s="56"/>
      <c r="N403" s="56"/>
      <c r="O403" s="56"/>
    </row>
    <row r="404" spans="2:15" s="29" customFormat="1" x14ac:dyDescent="0.25">
      <c r="B404" s="56"/>
      <c r="C404" s="56"/>
      <c r="D404" s="56"/>
      <c r="E404" s="56"/>
      <c r="F404" s="56"/>
      <c r="G404" s="56"/>
      <c r="H404" s="56"/>
      <c r="I404" s="56"/>
      <c r="J404" s="56"/>
      <c r="K404" s="56"/>
      <c r="L404" s="56"/>
      <c r="M404" s="56"/>
      <c r="N404" s="56"/>
      <c r="O404" s="56"/>
    </row>
    <row r="405" spans="2:15" s="29" customFormat="1" x14ac:dyDescent="0.25">
      <c r="B405" s="56"/>
      <c r="C405" s="56"/>
      <c r="D405" s="56"/>
      <c r="E405" s="56"/>
      <c r="F405" s="56"/>
      <c r="G405" s="56"/>
      <c r="H405" s="56"/>
      <c r="I405" s="56"/>
      <c r="J405" s="56"/>
      <c r="K405" s="56"/>
      <c r="L405" s="56"/>
      <c r="M405" s="56"/>
      <c r="N405" s="56"/>
      <c r="O405" s="56"/>
    </row>
    <row r="406" spans="2:15" s="29" customFormat="1" x14ac:dyDescent="0.25">
      <c r="B406" s="56"/>
      <c r="C406" s="56"/>
      <c r="D406" s="56"/>
      <c r="E406" s="56"/>
      <c r="F406" s="56"/>
      <c r="G406" s="56"/>
      <c r="H406" s="56"/>
      <c r="I406" s="56"/>
      <c r="J406" s="56"/>
      <c r="K406" s="56"/>
      <c r="L406" s="56"/>
      <c r="M406" s="56"/>
      <c r="N406" s="56"/>
      <c r="O406" s="56"/>
    </row>
    <row r="407" spans="2:15" s="29" customFormat="1" x14ac:dyDescent="0.25">
      <c r="B407" s="56"/>
      <c r="C407" s="56"/>
      <c r="D407" s="56"/>
      <c r="E407" s="56"/>
      <c r="F407" s="56"/>
      <c r="G407" s="56"/>
      <c r="H407" s="56"/>
      <c r="I407" s="56"/>
      <c r="J407" s="56"/>
      <c r="K407" s="56"/>
      <c r="L407" s="56"/>
      <c r="M407" s="56"/>
      <c r="N407" s="56"/>
      <c r="O407" s="56"/>
    </row>
    <row r="408" spans="2:15" s="29" customFormat="1" x14ac:dyDescent="0.25">
      <c r="B408" s="56"/>
      <c r="C408" s="56"/>
      <c r="D408" s="56"/>
      <c r="E408" s="56"/>
      <c r="F408" s="56"/>
      <c r="G408" s="56"/>
      <c r="H408" s="56"/>
      <c r="I408" s="56"/>
      <c r="J408" s="56"/>
      <c r="K408" s="56"/>
      <c r="L408" s="56"/>
      <c r="M408" s="56"/>
      <c r="N408" s="56"/>
      <c r="O408" s="56"/>
    </row>
    <row r="409" spans="2:15" s="29" customFormat="1" x14ac:dyDescent="0.25">
      <c r="B409" s="56"/>
      <c r="C409" s="56"/>
      <c r="D409" s="56"/>
      <c r="E409" s="56"/>
      <c r="F409" s="56"/>
      <c r="G409" s="56"/>
      <c r="H409" s="56"/>
      <c r="I409" s="56"/>
      <c r="J409" s="56"/>
      <c r="K409" s="56"/>
      <c r="L409" s="56"/>
      <c r="M409" s="56"/>
      <c r="N409" s="56"/>
      <c r="O409" s="56"/>
    </row>
    <row r="410" spans="2:15" s="29" customFormat="1" x14ac:dyDescent="0.25">
      <c r="B410" s="56"/>
      <c r="C410" s="56"/>
      <c r="D410" s="56"/>
      <c r="E410" s="56"/>
      <c r="F410" s="56"/>
      <c r="G410" s="56"/>
      <c r="H410" s="56"/>
      <c r="I410" s="56"/>
      <c r="J410" s="56"/>
      <c r="K410" s="56"/>
      <c r="L410" s="56"/>
      <c r="M410" s="56"/>
      <c r="N410" s="56"/>
      <c r="O410" s="56"/>
    </row>
    <row r="411" spans="2:15" s="29" customFormat="1" x14ac:dyDescent="0.25">
      <c r="B411" s="56"/>
      <c r="C411" s="56"/>
      <c r="D411" s="56"/>
      <c r="E411" s="56"/>
      <c r="F411" s="56"/>
      <c r="G411" s="56"/>
      <c r="H411" s="56"/>
      <c r="I411" s="56"/>
      <c r="J411" s="56"/>
      <c r="K411" s="56"/>
      <c r="L411" s="56"/>
      <c r="M411" s="56"/>
      <c r="N411" s="56"/>
      <c r="O411" s="56"/>
    </row>
    <row r="412" spans="2:15" s="29" customFormat="1" x14ac:dyDescent="0.25">
      <c r="B412" s="56"/>
      <c r="C412" s="56"/>
      <c r="D412" s="56"/>
      <c r="E412" s="56"/>
      <c r="F412" s="56"/>
      <c r="G412" s="56"/>
      <c r="H412" s="56"/>
      <c r="I412" s="56"/>
      <c r="J412" s="56"/>
      <c r="K412" s="56"/>
      <c r="L412" s="56"/>
      <c r="M412" s="56"/>
      <c r="N412" s="56"/>
      <c r="O412" s="56"/>
    </row>
    <row r="413" spans="2:15" s="29" customFormat="1" x14ac:dyDescent="0.25">
      <c r="B413" s="56"/>
      <c r="C413" s="56"/>
      <c r="D413" s="56"/>
      <c r="E413" s="56"/>
      <c r="F413" s="56"/>
      <c r="G413" s="56"/>
      <c r="H413" s="56"/>
      <c r="I413" s="56"/>
      <c r="J413" s="56"/>
      <c r="K413" s="56"/>
      <c r="L413" s="56"/>
      <c r="M413" s="56"/>
      <c r="N413" s="56"/>
      <c r="O413" s="56"/>
    </row>
    <row r="414" spans="2:15" s="29" customFormat="1" x14ac:dyDescent="0.25">
      <c r="B414" s="56"/>
      <c r="C414" s="56"/>
      <c r="D414" s="56"/>
      <c r="E414" s="56"/>
      <c r="F414" s="56"/>
      <c r="G414" s="56"/>
      <c r="H414" s="56"/>
      <c r="I414" s="56"/>
      <c r="J414" s="56"/>
      <c r="K414" s="56"/>
      <c r="L414" s="56"/>
      <c r="M414" s="56"/>
      <c r="N414" s="56"/>
      <c r="O414" s="56"/>
    </row>
    <row r="415" spans="2:15" s="29" customFormat="1" x14ac:dyDescent="0.25">
      <c r="B415" s="56"/>
      <c r="C415" s="56"/>
      <c r="D415" s="56"/>
      <c r="E415" s="56"/>
      <c r="F415" s="56"/>
      <c r="G415" s="56"/>
      <c r="H415" s="56"/>
      <c r="I415" s="56"/>
      <c r="J415" s="56"/>
      <c r="K415" s="56"/>
      <c r="L415" s="56"/>
      <c r="M415" s="56"/>
      <c r="N415" s="56"/>
      <c r="O415" s="56"/>
    </row>
    <row r="416" spans="2:15" s="29" customFormat="1" x14ac:dyDescent="0.25">
      <c r="B416" s="56"/>
      <c r="C416" s="56"/>
      <c r="D416" s="56"/>
      <c r="E416" s="56"/>
      <c r="F416" s="56"/>
      <c r="G416" s="56"/>
      <c r="H416" s="56"/>
      <c r="I416" s="56"/>
      <c r="J416" s="56"/>
      <c r="K416" s="56"/>
      <c r="L416" s="56"/>
      <c r="M416" s="56"/>
      <c r="N416" s="56"/>
      <c r="O416" s="56"/>
    </row>
  </sheetData>
  <mergeCells count="12">
    <mergeCell ref="H4:H5"/>
    <mergeCell ref="I4:I5"/>
    <mergeCell ref="J4:J5"/>
    <mergeCell ref="G2:M3"/>
    <mergeCell ref="K4:K5"/>
    <mergeCell ref="L4:L5"/>
    <mergeCell ref="M4:M5"/>
    <mergeCell ref="B2:B5"/>
    <mergeCell ref="C2:C5"/>
    <mergeCell ref="D2:D5"/>
    <mergeCell ref="E2:E5"/>
    <mergeCell ref="G4:G5"/>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B8566-F41A-47B3-AA76-77F6B9A12250}">
  <sheetPr>
    <tabColor theme="8" tint="0.59999389629810485"/>
  </sheetPr>
  <dimension ref="A3:AA29"/>
  <sheetViews>
    <sheetView tabSelected="1" topLeftCell="A7" workbookViewId="0">
      <selection activeCell="B35" sqref="B35"/>
    </sheetView>
  </sheetViews>
  <sheetFormatPr defaultRowHeight="15.75" x14ac:dyDescent="0.25"/>
  <cols>
    <col min="2" max="2" width="26" customWidth="1"/>
    <col min="4" max="4" width="12.875" customWidth="1"/>
    <col min="5" max="5" width="11.25" customWidth="1"/>
    <col min="9" max="9" width="13.375" customWidth="1"/>
    <col min="10" max="10" width="2.75" customWidth="1"/>
    <col min="15" max="15" width="20" customWidth="1"/>
    <col min="16" max="16" width="2.5" customWidth="1"/>
    <col min="21" max="21" width="20" customWidth="1"/>
    <col min="22" max="22" width="2.75" customWidth="1"/>
    <col min="27" max="27" width="21.625" customWidth="1"/>
  </cols>
  <sheetData>
    <row r="3" spans="1:27" ht="21" thickBot="1" x14ac:dyDescent="0.3">
      <c r="A3" s="159" t="s">
        <v>1655</v>
      </c>
      <c r="B3" s="160"/>
      <c r="C3" s="160"/>
      <c r="D3" s="160"/>
      <c r="E3" s="160"/>
      <c r="F3" s="160"/>
      <c r="G3" s="160"/>
      <c r="H3" s="160"/>
      <c r="I3" s="160"/>
      <c r="J3" s="160"/>
      <c r="K3" s="160"/>
      <c r="L3" s="160"/>
      <c r="M3" s="160"/>
      <c r="N3" s="160"/>
      <c r="O3" s="160"/>
      <c r="P3" s="160"/>
      <c r="Q3" s="160"/>
      <c r="R3" s="160"/>
      <c r="S3" s="160"/>
      <c r="T3" s="160"/>
      <c r="U3" s="160"/>
      <c r="V3" s="160"/>
      <c r="W3" s="160"/>
      <c r="X3" s="160"/>
      <c r="Y3" s="160"/>
      <c r="Z3" s="161"/>
      <c r="AA3" s="160"/>
    </row>
    <row r="4" spans="1:27" ht="16.5" customHeight="1" thickBot="1" x14ac:dyDescent="0.3">
      <c r="A4" s="287" t="s">
        <v>476</v>
      </c>
      <c r="B4" s="287" t="s">
        <v>477</v>
      </c>
      <c r="C4" s="286" t="s">
        <v>1656</v>
      </c>
      <c r="D4" s="286"/>
      <c r="E4" s="286"/>
      <c r="F4" s="286"/>
      <c r="G4" s="286"/>
      <c r="H4" s="286"/>
      <c r="I4" s="286"/>
      <c r="J4" s="162"/>
      <c r="K4" s="286" t="s">
        <v>1657</v>
      </c>
      <c r="L4" s="286"/>
      <c r="M4" s="286"/>
      <c r="N4" s="286"/>
      <c r="O4" s="286"/>
      <c r="P4" s="162"/>
      <c r="Q4" s="286" t="s">
        <v>1658</v>
      </c>
      <c r="R4" s="286"/>
      <c r="S4" s="286"/>
      <c r="T4" s="286"/>
      <c r="U4" s="286"/>
      <c r="V4" s="163"/>
      <c r="W4" s="286" t="s">
        <v>1659</v>
      </c>
      <c r="X4" s="286"/>
      <c r="Y4" s="286"/>
      <c r="Z4" s="286"/>
      <c r="AA4" s="286"/>
    </row>
    <row r="5" spans="1:27" ht="16.5" thickBot="1" x14ac:dyDescent="0.3">
      <c r="A5" s="288"/>
      <c r="B5" s="288"/>
      <c r="C5" s="290" t="s">
        <v>1660</v>
      </c>
      <c r="D5" s="290"/>
      <c r="E5" s="290"/>
      <c r="F5" s="286" t="s">
        <v>485</v>
      </c>
      <c r="G5" s="286"/>
      <c r="H5" s="286"/>
      <c r="I5" s="281" t="s">
        <v>1661</v>
      </c>
      <c r="J5" s="162"/>
      <c r="K5" s="286" t="s">
        <v>1660</v>
      </c>
      <c r="L5" s="286"/>
      <c r="M5" s="286"/>
      <c r="N5" s="281" t="s">
        <v>1662</v>
      </c>
      <c r="O5" s="284" t="s">
        <v>1663</v>
      </c>
      <c r="P5" s="162"/>
      <c r="Q5" s="286" t="s">
        <v>1660</v>
      </c>
      <c r="R5" s="286"/>
      <c r="S5" s="286"/>
      <c r="T5" s="281" t="s">
        <v>1662</v>
      </c>
      <c r="U5" s="281" t="s">
        <v>1663</v>
      </c>
      <c r="V5" s="164"/>
      <c r="W5" s="286" t="s">
        <v>1660</v>
      </c>
      <c r="X5" s="286"/>
      <c r="Y5" s="286"/>
      <c r="Z5" s="281" t="s">
        <v>1662</v>
      </c>
      <c r="AA5" s="281" t="s">
        <v>1663</v>
      </c>
    </row>
    <row r="6" spans="1:27" ht="35.25" customHeight="1" thickBot="1" x14ac:dyDescent="0.3">
      <c r="A6" s="289"/>
      <c r="B6" s="289"/>
      <c r="C6" s="165" t="s">
        <v>1664</v>
      </c>
      <c r="D6" s="165" t="s">
        <v>1665</v>
      </c>
      <c r="E6" s="165" t="s">
        <v>1666</v>
      </c>
      <c r="F6" s="165" t="s">
        <v>1664</v>
      </c>
      <c r="G6" s="165" t="s">
        <v>1665</v>
      </c>
      <c r="H6" s="165" t="s">
        <v>1666</v>
      </c>
      <c r="I6" s="282"/>
      <c r="J6" s="162"/>
      <c r="K6" s="165" t="s">
        <v>1664</v>
      </c>
      <c r="L6" s="165" t="s">
        <v>1665</v>
      </c>
      <c r="M6" s="165" t="s">
        <v>1666</v>
      </c>
      <c r="N6" s="282"/>
      <c r="O6" s="285"/>
      <c r="P6" s="162"/>
      <c r="Q6" s="165" t="s">
        <v>1664</v>
      </c>
      <c r="R6" s="165" t="s">
        <v>1665</v>
      </c>
      <c r="S6" s="165" t="s">
        <v>1666</v>
      </c>
      <c r="T6" s="282"/>
      <c r="U6" s="282"/>
      <c r="V6" s="164"/>
      <c r="W6" s="165" t="s">
        <v>1664</v>
      </c>
      <c r="X6" s="165" t="s">
        <v>1665</v>
      </c>
      <c r="Y6" s="165" t="s">
        <v>1666</v>
      </c>
      <c r="Z6" s="282"/>
      <c r="AA6" s="282"/>
    </row>
    <row r="7" spans="1:27" x14ac:dyDescent="0.25">
      <c r="A7" s="166" t="s">
        <v>498</v>
      </c>
      <c r="B7" s="166"/>
      <c r="C7" s="167">
        <v>560000</v>
      </c>
      <c r="D7" s="167">
        <v>930000</v>
      </c>
      <c r="E7" s="167">
        <v>2700000</v>
      </c>
      <c r="F7" s="168">
        <v>7.8165347871012078E-2</v>
      </c>
      <c r="G7" s="168">
        <v>0.1308487276943294</v>
      </c>
      <c r="H7" s="168">
        <v>0.37975017119454341</v>
      </c>
      <c r="I7" s="223">
        <v>0.68</v>
      </c>
      <c r="J7" s="169"/>
      <c r="K7" s="170">
        <v>48000</v>
      </c>
      <c r="L7" s="170">
        <v>105000</v>
      </c>
      <c r="M7" s="170">
        <v>514000</v>
      </c>
      <c r="N7" s="171">
        <v>11.276450792723805</v>
      </c>
      <c r="O7" s="223">
        <v>0.83199999999999996</v>
      </c>
      <c r="P7" s="169"/>
      <c r="Q7" s="172">
        <v>113000</v>
      </c>
      <c r="R7" s="172">
        <v>191000</v>
      </c>
      <c r="S7" s="172">
        <v>627000</v>
      </c>
      <c r="T7" s="171">
        <v>20.482057197127542</v>
      </c>
      <c r="U7" s="235">
        <v>0.63400000000000001</v>
      </c>
      <c r="V7" s="173"/>
      <c r="W7" s="172">
        <v>38000</v>
      </c>
      <c r="X7" s="172">
        <v>62000</v>
      </c>
      <c r="Y7" s="172">
        <v>184000</v>
      </c>
      <c r="Z7" s="174">
        <v>6.6139068736460285</v>
      </c>
      <c r="AA7" s="235">
        <v>0.60899999999999999</v>
      </c>
    </row>
    <row r="8" spans="1:27" x14ac:dyDescent="0.25">
      <c r="A8" s="175"/>
      <c r="B8" t="s">
        <v>1641</v>
      </c>
      <c r="C8" s="176">
        <v>80000</v>
      </c>
      <c r="D8" s="176">
        <v>270000</v>
      </c>
      <c r="E8" s="176">
        <v>1650000</v>
      </c>
      <c r="F8" s="177">
        <v>4.5007469029999685E-2</v>
      </c>
      <c r="G8" s="177">
        <v>0.14514467130070591</v>
      </c>
      <c r="H8" s="177">
        <v>0.88009911887630887</v>
      </c>
      <c r="I8" s="224">
        <v>0.58799999999999997</v>
      </c>
      <c r="J8" s="178"/>
      <c r="K8" s="179">
        <v>10000</v>
      </c>
      <c r="L8" s="179">
        <v>47000</v>
      </c>
      <c r="M8" s="179">
        <v>342000</v>
      </c>
      <c r="N8" s="180">
        <v>17.353934502363259</v>
      </c>
      <c r="O8" s="224">
        <v>0.88</v>
      </c>
      <c r="P8" s="178"/>
      <c r="Q8" s="176">
        <v>19000</v>
      </c>
      <c r="R8" s="176">
        <v>43000</v>
      </c>
      <c r="S8" s="176">
        <v>220000</v>
      </c>
      <c r="T8" s="180">
        <v>15.93947158914003</v>
      </c>
      <c r="U8" s="228">
        <v>0.877</v>
      </c>
      <c r="V8" s="181"/>
      <c r="W8" s="176">
        <v>10000</v>
      </c>
      <c r="X8" s="176">
        <v>23000</v>
      </c>
      <c r="Y8" s="176">
        <v>111000</v>
      </c>
      <c r="Z8" s="180">
        <v>8.5923676141233489</v>
      </c>
      <c r="AA8" s="228">
        <v>0.877</v>
      </c>
    </row>
    <row r="9" spans="1:27" x14ac:dyDescent="0.25">
      <c r="A9" s="175"/>
      <c r="B9" s="182" t="s">
        <v>87</v>
      </c>
      <c r="C9" s="176">
        <v>270000</v>
      </c>
      <c r="D9" s="176">
        <v>340000</v>
      </c>
      <c r="E9" s="176">
        <v>500000</v>
      </c>
      <c r="F9" s="177">
        <v>9.7483992653776053E-2</v>
      </c>
      <c r="G9" s="177">
        <v>0.12474681278209027</v>
      </c>
      <c r="H9" s="177">
        <v>0.17954526448947047</v>
      </c>
      <c r="I9" s="228">
        <v>0.77200000000000002</v>
      </c>
      <c r="J9" s="178"/>
      <c r="K9" s="179">
        <v>13000</v>
      </c>
      <c r="L9" s="179">
        <v>16000</v>
      </c>
      <c r="M9" s="179">
        <v>29000</v>
      </c>
      <c r="N9" s="180">
        <v>4.6994660653211762</v>
      </c>
      <c r="O9" s="224">
        <v>0.88800000000000001</v>
      </c>
      <c r="P9" s="178"/>
      <c r="Q9" s="176">
        <v>34000</v>
      </c>
      <c r="R9" s="176">
        <v>52000</v>
      </c>
      <c r="S9" s="176">
        <v>171000</v>
      </c>
      <c r="T9" s="180">
        <v>15.144205692019279</v>
      </c>
      <c r="U9" s="228">
        <v>0.315</v>
      </c>
      <c r="V9" s="181"/>
      <c r="W9" s="176">
        <v>20000</v>
      </c>
      <c r="X9" s="176">
        <v>27000</v>
      </c>
      <c r="Y9" s="176">
        <v>38000</v>
      </c>
      <c r="Z9" s="180">
        <v>7.7787706266009087</v>
      </c>
      <c r="AA9" s="228">
        <v>0.252</v>
      </c>
    </row>
    <row r="10" spans="1:27" x14ac:dyDescent="0.25">
      <c r="A10" s="175"/>
      <c r="B10" s="182" t="s">
        <v>1642</v>
      </c>
      <c r="C10" s="176">
        <v>90000</v>
      </c>
      <c r="D10" s="176">
        <v>140000</v>
      </c>
      <c r="E10" s="176">
        <v>170000</v>
      </c>
      <c r="F10" s="177">
        <v>9.0282807976597268E-2</v>
      </c>
      <c r="G10" s="177">
        <v>0.13748847157378191</v>
      </c>
      <c r="H10" s="177">
        <v>0.17061764551400732</v>
      </c>
      <c r="I10" s="224">
        <v>0.63100000000000001</v>
      </c>
      <c r="J10" s="178"/>
      <c r="K10" s="179">
        <v>19000</v>
      </c>
      <c r="L10" s="179">
        <v>30000</v>
      </c>
      <c r="M10" s="179">
        <v>60000</v>
      </c>
      <c r="N10" s="180">
        <v>21.415146397382461</v>
      </c>
      <c r="O10" s="224">
        <v>0.59299999999999997</v>
      </c>
      <c r="P10" s="178"/>
      <c r="Q10" s="176">
        <v>34000</v>
      </c>
      <c r="R10" s="176">
        <v>51000</v>
      </c>
      <c r="S10" s="176">
        <v>66000</v>
      </c>
      <c r="T10" s="180">
        <v>36.833666248298137</v>
      </c>
      <c r="U10" s="228">
        <v>0.68899999999999995</v>
      </c>
      <c r="V10" s="181"/>
      <c r="W10" s="176">
        <v>5000</v>
      </c>
      <c r="X10" s="176">
        <v>7000</v>
      </c>
      <c r="Y10" s="176">
        <v>24000</v>
      </c>
      <c r="Z10" s="180">
        <v>5.1490467077980142</v>
      </c>
      <c r="AA10" s="228">
        <v>0.68899999999999995</v>
      </c>
    </row>
    <row r="11" spans="1:27" ht="16.5" thickBot="1" x14ac:dyDescent="0.3">
      <c r="A11" s="183"/>
      <c r="B11" s="184" t="s">
        <v>56</v>
      </c>
      <c r="C11" s="185">
        <v>110000</v>
      </c>
      <c r="D11" s="185">
        <v>170000</v>
      </c>
      <c r="E11" s="185">
        <v>380000</v>
      </c>
      <c r="F11" s="186">
        <v>7.5848812674161631E-2</v>
      </c>
      <c r="G11" s="186">
        <v>0.11941993774900495</v>
      </c>
      <c r="H11" s="186">
        <v>0.26031231814256661</v>
      </c>
      <c r="I11" s="226">
        <v>0.65700000000000003</v>
      </c>
      <c r="J11" s="178"/>
      <c r="K11" s="187">
        <v>6000</v>
      </c>
      <c r="L11" s="187">
        <v>12000</v>
      </c>
      <c r="M11" s="187">
        <v>84000</v>
      </c>
      <c r="N11" s="188">
        <v>6.6894355004730492</v>
      </c>
      <c r="O11" s="226">
        <v>0.84</v>
      </c>
      <c r="P11" s="178"/>
      <c r="Q11" s="185">
        <v>26000</v>
      </c>
      <c r="R11" s="185">
        <v>44000</v>
      </c>
      <c r="S11" s="185">
        <v>169000</v>
      </c>
      <c r="T11" s="189">
        <v>25.074548675456864</v>
      </c>
      <c r="U11" s="229">
        <v>0.84</v>
      </c>
      <c r="V11" s="181"/>
      <c r="W11" s="185">
        <v>3000</v>
      </c>
      <c r="X11" s="185">
        <v>4000</v>
      </c>
      <c r="Y11" s="185">
        <v>10000</v>
      </c>
      <c r="Z11" s="189">
        <v>2.3931136589692046</v>
      </c>
      <c r="AA11" s="229">
        <v>0.83299999999999996</v>
      </c>
    </row>
    <row r="12" spans="1:27" x14ac:dyDescent="0.25">
      <c r="A12" s="190" t="s">
        <v>1667</v>
      </c>
      <c r="B12" s="190"/>
      <c r="C12" s="191">
        <v>1910000</v>
      </c>
      <c r="D12" s="191">
        <v>2380000</v>
      </c>
      <c r="E12" s="191">
        <v>2970000</v>
      </c>
      <c r="F12" s="192">
        <v>0.2847091857939536</v>
      </c>
      <c r="G12" s="192">
        <v>0.35603762783222415</v>
      </c>
      <c r="H12" s="192">
        <v>0.44309906401346522</v>
      </c>
      <c r="I12" s="232">
        <v>0.873</v>
      </c>
      <c r="J12" s="169"/>
      <c r="K12" s="167">
        <v>111000</v>
      </c>
      <c r="L12" s="167">
        <v>176000</v>
      </c>
      <c r="M12" s="167">
        <v>272000</v>
      </c>
      <c r="N12" s="171">
        <v>7.4058257940812684</v>
      </c>
      <c r="O12" s="232">
        <v>0.93400000000000005</v>
      </c>
      <c r="P12" s="169"/>
      <c r="Q12" s="172">
        <v>693000</v>
      </c>
      <c r="R12" s="172">
        <v>1084000</v>
      </c>
      <c r="S12" s="172">
        <v>1621000</v>
      </c>
      <c r="T12" s="193">
        <v>45.469686054892691</v>
      </c>
      <c r="U12" s="231">
        <v>0.91400000000000003</v>
      </c>
      <c r="V12" s="194"/>
      <c r="W12" s="167">
        <v>77000</v>
      </c>
      <c r="X12" s="167">
        <v>98000</v>
      </c>
      <c r="Y12" s="167">
        <v>213000</v>
      </c>
      <c r="Z12" s="171">
        <v>4.1079327713578335</v>
      </c>
      <c r="AA12" s="231">
        <v>0.73399999999999999</v>
      </c>
    </row>
    <row r="13" spans="1:27" x14ac:dyDescent="0.25">
      <c r="A13" s="175"/>
      <c r="B13" s="175" t="s">
        <v>152</v>
      </c>
      <c r="C13" s="176">
        <v>1560000</v>
      </c>
      <c r="D13" s="176">
        <v>1800000</v>
      </c>
      <c r="E13" s="176">
        <v>2030000</v>
      </c>
      <c r="F13" s="177">
        <v>0.48457218922617873</v>
      </c>
      <c r="G13" s="177">
        <v>0.5565545306009041</v>
      </c>
      <c r="H13" s="177">
        <v>0.62849879685193444</v>
      </c>
      <c r="I13" s="224">
        <v>1</v>
      </c>
      <c r="J13" s="178"/>
      <c r="K13" s="176">
        <v>93000</v>
      </c>
      <c r="L13" s="176">
        <v>124000</v>
      </c>
      <c r="M13" s="176">
        <v>159000</v>
      </c>
      <c r="N13" s="180">
        <v>6.9102498111732746</v>
      </c>
      <c r="O13" s="224">
        <v>1</v>
      </c>
      <c r="P13" s="178"/>
      <c r="Q13" s="195">
        <v>657000</v>
      </c>
      <c r="R13" s="195">
        <v>989000</v>
      </c>
      <c r="S13" s="195">
        <v>1384000</v>
      </c>
      <c r="T13" s="196">
        <v>55.100221260955273</v>
      </c>
      <c r="U13" s="228">
        <v>1</v>
      </c>
      <c r="V13" s="197"/>
      <c r="W13" s="198">
        <v>67000</v>
      </c>
      <c r="X13" s="198">
        <v>81000</v>
      </c>
      <c r="Y13" s="198">
        <v>92000</v>
      </c>
      <c r="Z13" s="199">
        <v>4.5093954954410709</v>
      </c>
      <c r="AA13" s="228">
        <v>0.94899999999999995</v>
      </c>
    </row>
    <row r="14" spans="1:27" x14ac:dyDescent="0.25">
      <c r="A14" s="200"/>
      <c r="B14" s="182" t="s">
        <v>481</v>
      </c>
      <c r="C14" s="201">
        <v>40000</v>
      </c>
      <c r="D14" s="201">
        <v>100000</v>
      </c>
      <c r="E14" s="201">
        <v>220000</v>
      </c>
      <c r="F14" s="202">
        <v>0.14531700954992691</v>
      </c>
      <c r="G14" s="202">
        <v>0.34365499418667017</v>
      </c>
      <c r="H14" s="202">
        <v>0.77930919869988868</v>
      </c>
      <c r="I14" s="228">
        <v>0.314</v>
      </c>
      <c r="J14" s="178"/>
      <c r="K14" s="176">
        <v>4000</v>
      </c>
      <c r="L14" s="176">
        <v>14000</v>
      </c>
      <c r="M14" s="176">
        <v>27000</v>
      </c>
      <c r="N14" s="181">
        <v>14.021169399674116</v>
      </c>
      <c r="O14" s="228">
        <v>0.32</v>
      </c>
      <c r="P14" s="178"/>
      <c r="Q14" s="195">
        <v>24000</v>
      </c>
      <c r="R14" s="195">
        <v>74000</v>
      </c>
      <c r="S14" s="195">
        <v>156000</v>
      </c>
      <c r="T14" s="196">
        <v>75.993516441397674</v>
      </c>
      <c r="U14" s="228">
        <v>0.313</v>
      </c>
      <c r="V14" s="197"/>
      <c r="W14" s="203">
        <v>0</v>
      </c>
      <c r="X14" s="203">
        <v>0</v>
      </c>
      <c r="Y14" s="203">
        <v>0</v>
      </c>
      <c r="Z14" s="204">
        <v>0</v>
      </c>
      <c r="AA14" s="228">
        <v>0.01</v>
      </c>
    </row>
    <row r="15" spans="1:27" x14ac:dyDescent="0.25">
      <c r="A15" s="200"/>
      <c r="B15" s="182" t="s">
        <v>159</v>
      </c>
      <c r="C15" s="201">
        <v>290000</v>
      </c>
      <c r="D15" s="201">
        <v>470000</v>
      </c>
      <c r="E15" s="201">
        <v>690000</v>
      </c>
      <c r="F15" s="202">
        <v>0.10065858100512434</v>
      </c>
      <c r="G15" s="202">
        <v>0.16452276698180654</v>
      </c>
      <c r="H15" s="202">
        <v>0.24072053912263791</v>
      </c>
      <c r="I15" s="228">
        <v>0.81899999999999995</v>
      </c>
      <c r="J15" s="178"/>
      <c r="K15" s="176">
        <v>13000</v>
      </c>
      <c r="L15" s="176">
        <v>38000</v>
      </c>
      <c r="M15" s="176">
        <v>84000</v>
      </c>
      <c r="N15" s="181">
        <v>8.0844944636217271</v>
      </c>
      <c r="O15" s="228">
        <v>0.83399999999999996</v>
      </c>
      <c r="P15" s="178"/>
      <c r="Q15" s="195">
        <v>12000</v>
      </c>
      <c r="R15" s="195">
        <v>20000</v>
      </c>
      <c r="S15" s="195">
        <v>74000</v>
      </c>
      <c r="T15" s="196">
        <v>4.176559286401635</v>
      </c>
      <c r="U15" s="228">
        <v>0.747</v>
      </c>
      <c r="V15" s="197"/>
      <c r="W15" s="203">
        <v>10000</v>
      </c>
      <c r="X15" s="203">
        <v>16000</v>
      </c>
      <c r="Y15" s="203">
        <v>116000</v>
      </c>
      <c r="Z15" s="204">
        <v>3.4502024908421642</v>
      </c>
      <c r="AA15" s="228">
        <v>9.7000000000000003E-2</v>
      </c>
    </row>
    <row r="16" spans="1:27" ht="16.5" thickBot="1" x14ac:dyDescent="0.3">
      <c r="A16" s="183"/>
      <c r="B16" t="s">
        <v>1643</v>
      </c>
      <c r="C16" s="185">
        <v>10000</v>
      </c>
      <c r="D16" s="185">
        <v>20000</v>
      </c>
      <c r="E16" s="185">
        <v>30000</v>
      </c>
      <c r="F16" s="186">
        <v>3.8878820896765517E-2</v>
      </c>
      <c r="G16" s="186">
        <v>5.7473678496442693E-2</v>
      </c>
      <c r="H16" s="186">
        <v>8.582361951880256E-2</v>
      </c>
      <c r="I16" s="226">
        <v>0.57799999999999996</v>
      </c>
      <c r="J16" s="178"/>
      <c r="K16" s="185">
        <v>300</v>
      </c>
      <c r="L16" s="185">
        <v>600</v>
      </c>
      <c r="M16" s="185">
        <v>1400</v>
      </c>
      <c r="N16" s="189">
        <v>3.3942615618250662</v>
      </c>
      <c r="O16" s="226">
        <v>0.32700000000000001</v>
      </c>
      <c r="P16" s="178"/>
      <c r="Q16" s="205">
        <v>0</v>
      </c>
      <c r="R16" s="205">
        <v>1000</v>
      </c>
      <c r="S16" s="205">
        <v>7000</v>
      </c>
      <c r="T16" s="206">
        <v>4.1765592864016341</v>
      </c>
      <c r="U16" s="230">
        <v>0</v>
      </c>
      <c r="V16" s="197"/>
      <c r="W16" s="207">
        <v>0</v>
      </c>
      <c r="X16" s="207">
        <v>1000</v>
      </c>
      <c r="Y16" s="207">
        <v>5000</v>
      </c>
      <c r="Z16" s="208">
        <v>3.4502024908421633</v>
      </c>
      <c r="AA16" s="228">
        <v>0</v>
      </c>
    </row>
    <row r="17" spans="1:27" x14ac:dyDescent="0.25">
      <c r="A17" s="166" t="s">
        <v>499</v>
      </c>
      <c r="B17" s="166"/>
      <c r="C17" s="167">
        <v>3900000</v>
      </c>
      <c r="D17" s="167">
        <v>5220000</v>
      </c>
      <c r="E17" s="167">
        <v>6630000</v>
      </c>
      <c r="F17" s="209">
        <v>0.12842085453897253</v>
      </c>
      <c r="G17" s="209">
        <v>0.1719499527146747</v>
      </c>
      <c r="H17" s="209">
        <v>0.21850897858771845</v>
      </c>
      <c r="I17" s="223">
        <v>0.95299999999999996</v>
      </c>
      <c r="J17" s="169"/>
      <c r="K17" s="167">
        <v>384000</v>
      </c>
      <c r="L17" s="167">
        <v>604000</v>
      </c>
      <c r="M17" s="167">
        <v>866000</v>
      </c>
      <c r="N17" s="171">
        <v>11.575305432487639</v>
      </c>
      <c r="O17" s="223">
        <v>0.98</v>
      </c>
      <c r="P17" s="169"/>
      <c r="Q17" s="167">
        <v>1817000</v>
      </c>
      <c r="R17" s="167">
        <v>2747000</v>
      </c>
      <c r="S17" s="167">
        <v>3927000</v>
      </c>
      <c r="T17" s="171">
        <v>52.646598257608794</v>
      </c>
      <c r="U17" s="235">
        <v>0.98199999999999998</v>
      </c>
      <c r="V17" s="173"/>
      <c r="W17" s="167">
        <v>384000</v>
      </c>
      <c r="X17" s="167">
        <v>591000</v>
      </c>
      <c r="Y17" s="167">
        <v>862000</v>
      </c>
      <c r="Z17" s="171">
        <v>11.318682703053488</v>
      </c>
      <c r="AA17" s="235">
        <v>0.58399999999999996</v>
      </c>
    </row>
    <row r="18" spans="1:27" x14ac:dyDescent="0.25">
      <c r="A18" s="175"/>
      <c r="B18" s="175" t="s">
        <v>237</v>
      </c>
      <c r="C18" s="176">
        <v>350000</v>
      </c>
      <c r="D18" s="176">
        <v>370000</v>
      </c>
      <c r="E18" s="176">
        <v>400000</v>
      </c>
      <c r="F18" s="177">
        <v>0.59321013663780497</v>
      </c>
      <c r="G18" s="177">
        <v>0.63391261454909997</v>
      </c>
      <c r="H18" s="177">
        <v>0.68411416982336026</v>
      </c>
      <c r="I18" s="224">
        <v>0.93500000000000005</v>
      </c>
      <c r="J18" s="178"/>
      <c r="K18" s="176">
        <v>23000</v>
      </c>
      <c r="L18" s="176">
        <v>26000</v>
      </c>
      <c r="M18" s="176">
        <v>31000</v>
      </c>
      <c r="N18" s="180">
        <v>6.9919098793149015</v>
      </c>
      <c r="O18" s="224">
        <v>0.93500000000000005</v>
      </c>
      <c r="P18" s="178"/>
      <c r="Q18" s="176">
        <v>191000</v>
      </c>
      <c r="R18" s="176">
        <v>200000</v>
      </c>
      <c r="S18" s="176">
        <v>206000</v>
      </c>
      <c r="T18" s="180">
        <v>54.139379437078155</v>
      </c>
      <c r="U18" s="228">
        <v>1</v>
      </c>
      <c r="V18" s="181"/>
      <c r="W18" s="176">
        <v>19000</v>
      </c>
      <c r="X18" s="176">
        <v>23000</v>
      </c>
      <c r="Y18" s="176">
        <v>26000</v>
      </c>
      <c r="Z18" s="180">
        <v>6.2837199177228138</v>
      </c>
      <c r="AA18" s="228">
        <v>0.84599999999999997</v>
      </c>
    </row>
    <row r="19" spans="1:27" x14ac:dyDescent="0.25">
      <c r="A19" s="210"/>
      <c r="B19" s="210" t="s">
        <v>254</v>
      </c>
      <c r="C19" s="211">
        <v>1980000</v>
      </c>
      <c r="D19" s="211">
        <v>3040000</v>
      </c>
      <c r="E19" s="211">
        <v>4060000</v>
      </c>
      <c r="F19" s="212">
        <v>0.12237688355599979</v>
      </c>
      <c r="G19" s="212">
        <v>0.18803530768784096</v>
      </c>
      <c r="H19" s="212">
        <v>0.2515055371475966</v>
      </c>
      <c r="I19" s="225">
        <v>0.95399999999999996</v>
      </c>
      <c r="J19" s="178"/>
      <c r="K19" s="211">
        <v>137000</v>
      </c>
      <c r="L19" s="211">
        <v>284000</v>
      </c>
      <c r="M19" s="211">
        <v>460000</v>
      </c>
      <c r="N19" s="213">
        <v>9.3459815135640962</v>
      </c>
      <c r="O19" s="225">
        <v>0.98699999999999999</v>
      </c>
      <c r="P19" s="178"/>
      <c r="Q19" s="211">
        <v>1056000</v>
      </c>
      <c r="R19" s="211">
        <v>1860000</v>
      </c>
      <c r="S19" s="211">
        <v>2829000</v>
      </c>
      <c r="T19" s="213">
        <v>61.216985377199322</v>
      </c>
      <c r="U19" s="228">
        <v>0.98299999999999998</v>
      </c>
      <c r="V19" s="181"/>
      <c r="W19" s="211">
        <v>153000</v>
      </c>
      <c r="X19" s="211">
        <v>313000</v>
      </c>
      <c r="Y19" s="211">
        <v>527000</v>
      </c>
      <c r="Z19" s="213">
        <v>10.306035355961081</v>
      </c>
      <c r="AA19" s="228">
        <v>0.318</v>
      </c>
    </row>
    <row r="20" spans="1:27" x14ac:dyDescent="0.25">
      <c r="A20" s="210"/>
      <c r="B20" s="210" t="s">
        <v>523</v>
      </c>
      <c r="C20" s="211">
        <v>610000</v>
      </c>
      <c r="D20" s="211">
        <v>780000</v>
      </c>
      <c r="E20" s="211">
        <v>950000</v>
      </c>
      <c r="F20" s="212">
        <v>0.2965411361502503</v>
      </c>
      <c r="G20" s="212">
        <v>0.37855915327141493</v>
      </c>
      <c r="H20" s="212">
        <v>0.46127367595413593</v>
      </c>
      <c r="I20" s="225">
        <v>1</v>
      </c>
      <c r="J20" s="178"/>
      <c r="K20" s="211">
        <v>165000</v>
      </c>
      <c r="L20" s="211">
        <v>229000</v>
      </c>
      <c r="M20" s="211">
        <v>297000</v>
      </c>
      <c r="N20" s="213">
        <v>29.470414227923229</v>
      </c>
      <c r="O20" s="225">
        <v>1</v>
      </c>
      <c r="P20" s="178"/>
      <c r="Q20" s="211">
        <v>220000</v>
      </c>
      <c r="R20" s="211">
        <v>299000</v>
      </c>
      <c r="S20" s="211">
        <v>387000</v>
      </c>
      <c r="T20" s="213">
        <v>38.538877761318979</v>
      </c>
      <c r="U20" s="228">
        <v>1</v>
      </c>
      <c r="V20" s="181"/>
      <c r="W20" s="211">
        <v>113000</v>
      </c>
      <c r="X20" s="211">
        <v>149000</v>
      </c>
      <c r="Y20" s="211">
        <v>186000</v>
      </c>
      <c r="Z20" s="213">
        <v>19.239071649825608</v>
      </c>
      <c r="AA20" s="228">
        <v>1</v>
      </c>
    </row>
    <row r="21" spans="1:27" x14ac:dyDescent="0.25">
      <c r="A21" s="210"/>
      <c r="B21" s="210" t="s">
        <v>524</v>
      </c>
      <c r="C21" s="211">
        <v>40000</v>
      </c>
      <c r="D21" s="211">
        <v>90000</v>
      </c>
      <c r="E21" s="211">
        <v>260000</v>
      </c>
      <c r="F21" s="212">
        <v>3.1882762777607876E-2</v>
      </c>
      <c r="G21" s="212">
        <v>7.733566034388363E-2</v>
      </c>
      <c r="H21" s="212">
        <v>0.23127222942977746</v>
      </c>
      <c r="I21" s="225">
        <v>0.42099999999999999</v>
      </c>
      <c r="J21" s="178"/>
      <c r="K21" s="211">
        <v>1800</v>
      </c>
      <c r="L21" s="211">
        <v>3300</v>
      </c>
      <c r="M21" s="211">
        <v>10300</v>
      </c>
      <c r="N21" s="213">
        <v>3.8219861803116251</v>
      </c>
      <c r="O21" s="225">
        <v>0.55600000000000005</v>
      </c>
      <c r="P21" s="178"/>
      <c r="Q21" s="211">
        <v>20000</v>
      </c>
      <c r="R21" s="211">
        <v>40000</v>
      </c>
      <c r="S21" s="211">
        <v>139000</v>
      </c>
      <c r="T21" s="213">
        <v>46.856722452272713</v>
      </c>
      <c r="U21" s="228">
        <v>0.53500000000000003</v>
      </c>
      <c r="V21" s="181"/>
      <c r="W21" s="211">
        <v>7000</v>
      </c>
      <c r="X21" s="211">
        <v>13000</v>
      </c>
      <c r="Y21" s="211">
        <v>29000</v>
      </c>
      <c r="Z21" s="213">
        <v>14.635874285857307</v>
      </c>
      <c r="AA21" s="228">
        <v>0.53500000000000003</v>
      </c>
    </row>
    <row r="22" spans="1:27" ht="16.5" thickBot="1" x14ac:dyDescent="0.3">
      <c r="A22" s="183"/>
      <c r="B22" s="183" t="s">
        <v>321</v>
      </c>
      <c r="C22" s="185">
        <v>930000</v>
      </c>
      <c r="D22" s="185">
        <v>950000</v>
      </c>
      <c r="E22" s="185">
        <v>960000</v>
      </c>
      <c r="F22" s="186">
        <v>8.9024284497131081E-2</v>
      </c>
      <c r="G22" s="186">
        <v>9.0693969795751089E-2</v>
      </c>
      <c r="H22" s="186">
        <v>9.2366494536195345E-2</v>
      </c>
      <c r="I22" s="226">
        <v>1</v>
      </c>
      <c r="J22" s="178"/>
      <c r="K22" s="185">
        <v>57000</v>
      </c>
      <c r="L22" s="185">
        <v>62000</v>
      </c>
      <c r="M22" s="185">
        <v>67000</v>
      </c>
      <c r="N22" s="189">
        <v>6.547734645115737</v>
      </c>
      <c r="O22" s="226">
        <v>1</v>
      </c>
      <c r="P22" s="178"/>
      <c r="Q22" s="185">
        <v>330000</v>
      </c>
      <c r="R22" s="185">
        <v>347000</v>
      </c>
      <c r="S22" s="185">
        <v>366000</v>
      </c>
      <c r="T22" s="189">
        <v>36.653672892316152</v>
      </c>
      <c r="U22" s="229">
        <v>1</v>
      </c>
      <c r="V22" s="181"/>
      <c r="W22" s="185">
        <v>92000</v>
      </c>
      <c r="X22" s="185">
        <v>92000</v>
      </c>
      <c r="Y22" s="185">
        <v>93000</v>
      </c>
      <c r="Z22" s="189">
        <v>9.7399155517479237</v>
      </c>
      <c r="AA22" s="229">
        <v>1</v>
      </c>
    </row>
    <row r="23" spans="1:27" x14ac:dyDescent="0.25">
      <c r="A23" s="166" t="s">
        <v>500</v>
      </c>
      <c r="B23" s="166"/>
      <c r="C23" s="167">
        <v>2400000</v>
      </c>
      <c r="D23" s="167">
        <v>2630000</v>
      </c>
      <c r="E23" s="167">
        <v>2900000</v>
      </c>
      <c r="F23" s="209">
        <v>0.44081146830870693</v>
      </c>
      <c r="G23" s="209">
        <v>0.48216476413865039</v>
      </c>
      <c r="H23" s="209">
        <v>0.5330086247119854</v>
      </c>
      <c r="I23" s="223">
        <v>0.9</v>
      </c>
      <c r="J23" s="169"/>
      <c r="K23" s="167">
        <v>507000</v>
      </c>
      <c r="L23" s="167">
        <v>529000</v>
      </c>
      <c r="M23" s="167">
        <v>566000</v>
      </c>
      <c r="N23" s="171">
        <v>20.137157201991755</v>
      </c>
      <c r="O23" s="223">
        <v>1</v>
      </c>
      <c r="P23" s="169"/>
      <c r="Q23" s="167">
        <v>1264000</v>
      </c>
      <c r="R23" s="167">
        <v>1390000</v>
      </c>
      <c r="S23" s="167">
        <v>1595000</v>
      </c>
      <c r="T23" s="171">
        <v>52.906084710055119</v>
      </c>
      <c r="U23" s="231">
        <v>1</v>
      </c>
      <c r="V23" s="173"/>
      <c r="W23" s="167">
        <v>173000</v>
      </c>
      <c r="X23" s="167">
        <v>181000</v>
      </c>
      <c r="Y23" s="167">
        <v>198000</v>
      </c>
      <c r="Z23" s="171">
        <v>6.8993641008949229</v>
      </c>
      <c r="AA23" s="231">
        <v>0.97599999999999998</v>
      </c>
    </row>
    <row r="24" spans="1:27" x14ac:dyDescent="0.25">
      <c r="A24" s="190"/>
      <c r="B24" t="s">
        <v>1613</v>
      </c>
      <c r="C24" s="176">
        <v>1700000</v>
      </c>
      <c r="D24" s="176">
        <v>1730000</v>
      </c>
      <c r="E24" s="176">
        <v>1750000</v>
      </c>
      <c r="F24" s="214">
        <v>1.2381776958116626</v>
      </c>
      <c r="G24" s="214">
        <v>1.2561828711596752</v>
      </c>
      <c r="H24" s="214">
        <v>1.2741880465076876</v>
      </c>
      <c r="I24" s="227">
        <v>1</v>
      </c>
      <c r="J24" s="169"/>
      <c r="K24" s="176">
        <v>427000</v>
      </c>
      <c r="L24" s="176">
        <v>435000</v>
      </c>
      <c r="M24" s="176">
        <v>443000</v>
      </c>
      <c r="N24" s="215">
        <v>25.163416493968963</v>
      </c>
      <c r="O24" s="227">
        <v>1</v>
      </c>
      <c r="P24" s="169"/>
      <c r="Q24" s="176">
        <v>870000</v>
      </c>
      <c r="R24" s="176">
        <v>875000</v>
      </c>
      <c r="S24" s="176">
        <v>880000</v>
      </c>
      <c r="T24" s="215">
        <v>50.618343844575833</v>
      </c>
      <c r="U24" s="230">
        <v>1</v>
      </c>
      <c r="V24" s="173"/>
      <c r="W24" s="176">
        <v>141000</v>
      </c>
      <c r="X24" s="176">
        <v>142000</v>
      </c>
      <c r="Y24" s="176">
        <v>143000</v>
      </c>
      <c r="Z24" s="215">
        <v>8.2200483781654015</v>
      </c>
      <c r="AA24" s="230">
        <v>1</v>
      </c>
    </row>
    <row r="25" spans="1:27" x14ac:dyDescent="0.25">
      <c r="A25" s="175"/>
      <c r="B25" s="89" t="s">
        <v>1668</v>
      </c>
      <c r="C25" s="176">
        <v>80000</v>
      </c>
      <c r="D25" s="176">
        <v>100000</v>
      </c>
      <c r="E25" s="176">
        <v>140000</v>
      </c>
      <c r="F25" s="177">
        <v>9.3721249740035678E-2</v>
      </c>
      <c r="G25" s="177">
        <v>0.11292700234136019</v>
      </c>
      <c r="H25" s="177">
        <v>0.15983734417787776</v>
      </c>
      <c r="I25" s="224">
        <v>1</v>
      </c>
      <c r="J25" s="178"/>
      <c r="K25" s="176">
        <v>1900</v>
      </c>
      <c r="L25" s="176">
        <v>2700</v>
      </c>
      <c r="M25" s="176">
        <v>4100</v>
      </c>
      <c r="N25" s="180">
        <v>2.7032328477790517</v>
      </c>
      <c r="O25" s="224">
        <v>1</v>
      </c>
      <c r="P25" s="178"/>
      <c r="Q25" s="176">
        <v>42000</v>
      </c>
      <c r="R25" s="176">
        <v>53000</v>
      </c>
      <c r="S25" s="176">
        <v>80000</v>
      </c>
      <c r="T25" s="180">
        <v>53.938149290329477</v>
      </c>
      <c r="U25" s="228">
        <v>1</v>
      </c>
      <c r="V25" s="181"/>
      <c r="W25" s="176">
        <v>4000</v>
      </c>
      <c r="X25" s="176">
        <v>6000</v>
      </c>
      <c r="Y25" s="176">
        <v>10000</v>
      </c>
      <c r="Z25" s="180">
        <v>6.014393466496144</v>
      </c>
      <c r="AA25" s="228">
        <v>0.76400000000000001</v>
      </c>
    </row>
    <row r="26" spans="1:27" ht="16.5" thickBot="1" x14ac:dyDescent="0.3">
      <c r="A26" s="183"/>
      <c r="B26" s="216" t="s">
        <v>571</v>
      </c>
      <c r="C26" s="185">
        <v>620000</v>
      </c>
      <c r="D26" s="185">
        <v>800000</v>
      </c>
      <c r="E26" s="185">
        <v>1010000</v>
      </c>
      <c r="F26" s="186">
        <v>0.1925135703621193</v>
      </c>
      <c r="G26" s="186">
        <v>0.24993314956729493</v>
      </c>
      <c r="H26" s="186">
        <v>0.3159649775356525</v>
      </c>
      <c r="I26" s="226">
        <v>0.83</v>
      </c>
      <c r="J26" s="178"/>
      <c r="K26" s="185">
        <v>78000</v>
      </c>
      <c r="L26" s="185">
        <v>91000</v>
      </c>
      <c r="M26" s="185">
        <v>119000</v>
      </c>
      <c r="N26" s="189">
        <v>11.421337123413856</v>
      </c>
      <c r="O26" s="226">
        <v>0.999</v>
      </c>
      <c r="P26" s="178"/>
      <c r="Q26" s="185">
        <v>352000</v>
      </c>
      <c r="R26" s="185">
        <v>462000</v>
      </c>
      <c r="S26" s="185">
        <v>635000</v>
      </c>
      <c r="T26" s="189">
        <v>57.722226337715334</v>
      </c>
      <c r="U26" s="228">
        <v>0.999</v>
      </c>
      <c r="V26" s="181"/>
      <c r="W26" s="185">
        <v>27000</v>
      </c>
      <c r="X26" s="185">
        <v>33000</v>
      </c>
      <c r="Y26" s="185">
        <v>45000</v>
      </c>
      <c r="Z26" s="189">
        <v>4.1546331789049882</v>
      </c>
      <c r="AA26" s="228">
        <v>0.94899999999999995</v>
      </c>
    </row>
    <row r="27" spans="1:27" ht="16.5" thickBot="1" x14ac:dyDescent="0.3">
      <c r="A27" s="217" t="s">
        <v>475</v>
      </c>
      <c r="B27" s="217"/>
      <c r="C27" s="218">
        <v>100000</v>
      </c>
      <c r="D27" s="218">
        <v>100000</v>
      </c>
      <c r="E27" s="218">
        <v>110000</v>
      </c>
      <c r="F27" s="219">
        <v>0.37320226231450321</v>
      </c>
      <c r="G27" s="219">
        <v>0.38375971275144938</v>
      </c>
      <c r="H27" s="219">
        <v>0.407282716888417</v>
      </c>
      <c r="I27" s="233">
        <v>0.72599999999999998</v>
      </c>
      <c r="J27" s="169"/>
      <c r="K27" s="218">
        <v>1300</v>
      </c>
      <c r="L27" s="218">
        <v>1600</v>
      </c>
      <c r="M27" s="218">
        <v>1900</v>
      </c>
      <c r="N27" s="220">
        <v>1.6159939266178578</v>
      </c>
      <c r="O27" s="233">
        <v>0.72599999999999998</v>
      </c>
      <c r="P27" s="169"/>
      <c r="Q27" s="218">
        <v>51000</v>
      </c>
      <c r="R27" s="218">
        <v>52000</v>
      </c>
      <c r="S27" s="218">
        <v>58000</v>
      </c>
      <c r="T27" s="220">
        <v>51.292660347599615</v>
      </c>
      <c r="U27" s="233">
        <v>0.72599999999999998</v>
      </c>
      <c r="V27" s="173"/>
      <c r="W27" s="218">
        <v>7000</v>
      </c>
      <c r="X27" s="218">
        <v>8000</v>
      </c>
      <c r="Y27" s="218">
        <v>12000</v>
      </c>
      <c r="Z27" s="220">
        <v>8.0758406179548814</v>
      </c>
      <c r="AA27" s="233">
        <v>0.72599999999999998</v>
      </c>
    </row>
    <row r="28" spans="1:27" ht="16.5" thickBot="1" x14ac:dyDescent="0.3">
      <c r="A28" s="283" t="s">
        <v>1669</v>
      </c>
      <c r="B28" s="283"/>
      <c r="C28" s="221">
        <v>8860000</v>
      </c>
      <c r="D28" s="221">
        <v>11260000</v>
      </c>
      <c r="E28" s="221">
        <v>15310000</v>
      </c>
      <c r="F28" s="222">
        <v>0.17766219431187261</v>
      </c>
      <c r="G28" s="222">
        <v>0.22581501162983164</v>
      </c>
      <c r="H28" s="222">
        <v>0.30702621894021986</v>
      </c>
      <c r="I28" s="234">
        <v>0.89600000000000002</v>
      </c>
      <c r="J28" s="169"/>
      <c r="K28" s="218">
        <v>1050000</v>
      </c>
      <c r="L28" s="218">
        <v>1420000</v>
      </c>
      <c r="M28" s="218">
        <v>2220000</v>
      </c>
      <c r="N28" s="220">
        <v>12.575432225453607</v>
      </c>
      <c r="O28" s="233">
        <v>0.96099999999999997</v>
      </c>
      <c r="P28" s="169"/>
      <c r="Q28" s="218">
        <v>3937000</v>
      </c>
      <c r="R28" s="218">
        <v>5464000</v>
      </c>
      <c r="S28" s="218">
        <v>7828000</v>
      </c>
      <c r="T28" s="220">
        <v>48.516848910421459</v>
      </c>
      <c r="U28" s="233">
        <v>0.94099999999999995</v>
      </c>
      <c r="V28" s="173"/>
      <c r="W28" s="218">
        <v>679000</v>
      </c>
      <c r="X28" s="218">
        <v>940000</v>
      </c>
      <c r="Y28" s="218">
        <v>1468000</v>
      </c>
      <c r="Z28" s="220">
        <v>8.3434650975831239</v>
      </c>
      <c r="AA28" s="233">
        <v>0.71099999999999997</v>
      </c>
    </row>
    <row r="29" spans="1:27" x14ac:dyDescent="0.25">
      <c r="A29" s="291" t="s">
        <v>1670</v>
      </c>
      <c r="B29" s="292" t="s">
        <v>1671</v>
      </c>
      <c r="C29" s="292"/>
      <c r="D29" s="292"/>
      <c r="E29" s="292"/>
      <c r="F29" s="292"/>
    </row>
  </sheetData>
  <mergeCells count="19">
    <mergeCell ref="F5:H5"/>
    <mergeCell ref="I5:I6"/>
    <mergeCell ref="K5:M5"/>
    <mergeCell ref="Z5:Z6"/>
    <mergeCell ref="AA5:AA6"/>
    <mergeCell ref="A28:B28"/>
    <mergeCell ref="N5:N6"/>
    <mergeCell ref="O5:O6"/>
    <mergeCell ref="Q5:S5"/>
    <mergeCell ref="T5:T6"/>
    <mergeCell ref="U5:U6"/>
    <mergeCell ref="W5:Y5"/>
    <mergeCell ref="A4:A6"/>
    <mergeCell ref="B4:B6"/>
    <mergeCell ref="C4:I4"/>
    <mergeCell ref="K4:O4"/>
    <mergeCell ref="Q4:U4"/>
    <mergeCell ref="W4:AA4"/>
    <mergeCell ref="C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4AD69E4966E34F99BC929C6415BC94" ma:contentTypeVersion="13" ma:contentTypeDescription="Create a new document." ma:contentTypeScope="" ma:versionID="32261558e51cfa2fb5527ca9e33cf2fe">
  <xsd:schema xmlns:xsd="http://www.w3.org/2001/XMLSchema" xmlns:xs="http://www.w3.org/2001/XMLSchema" xmlns:p="http://schemas.microsoft.com/office/2006/metadata/properties" xmlns:ns3="618b3525-e9c7-4e90-a3c8-9e229f57c6b7" xmlns:ns4="361fe79d-5853-4f1d-b32c-7e689dd2ad26" targetNamespace="http://schemas.microsoft.com/office/2006/metadata/properties" ma:root="true" ma:fieldsID="52ea0c9de612490d3dcc6dea332d59c2" ns3:_="" ns4:_="">
    <xsd:import namespace="618b3525-e9c7-4e90-a3c8-9e229f57c6b7"/>
    <xsd:import namespace="361fe79d-5853-4f1d-b32c-7e689dd2ad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b3525-e9c7-4e90-a3c8-9e229f57c6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1fe79d-5853-4f1d-b32c-7e689dd2ad2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88D312-ED8A-4C6C-A241-C223D0CFDF05}">
  <ds:schemaRefs>
    <ds:schemaRef ds:uri="http://purl.org/dc/terms/"/>
    <ds:schemaRef ds:uri="http://schemas.openxmlformats.org/package/2006/metadata/core-properties"/>
    <ds:schemaRef ds:uri="http://schemas.microsoft.com/office/2006/documentManagement/types"/>
    <ds:schemaRef ds:uri="361fe79d-5853-4f1d-b32c-7e689dd2ad26"/>
    <ds:schemaRef ds:uri="http://schemas.microsoft.com/office/infopath/2007/PartnerControls"/>
    <ds:schemaRef ds:uri="http://purl.org/dc/elements/1.1/"/>
    <ds:schemaRef ds:uri="http://schemas.microsoft.com/office/2006/metadata/properties"/>
    <ds:schemaRef ds:uri="618b3525-e9c7-4e90-a3c8-9e229f57c6b7"/>
    <ds:schemaRef ds:uri="http://www.w3.org/XML/1998/namespace"/>
    <ds:schemaRef ds:uri="http://purl.org/dc/dcmitype/"/>
  </ds:schemaRefs>
</ds:datastoreItem>
</file>

<file path=customXml/itemProps2.xml><?xml version="1.0" encoding="utf-8"?>
<ds:datastoreItem xmlns:ds="http://schemas.openxmlformats.org/officeDocument/2006/customXml" ds:itemID="{8477C149-FE45-4FE9-A9D9-8CCC20B469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b3525-e9c7-4e90-a3c8-9e229f57c6b7"/>
    <ds:schemaRef ds:uri="361fe79d-5853-4f1d-b32c-7e689dd2a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04C3CF-C0DE-4D21-A0A6-D12BA39DF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PWID-sub-regional</vt:lpstr>
      <vt:lpstr>HIV sub-regional</vt:lpstr>
      <vt:lpstr>HCV sub-regional</vt:lpstr>
      <vt:lpstr>HBV sub-regional</vt:lpstr>
      <vt:lpstr>Regional summary</vt:lpstr>
      <vt:lpstr>NOTES!_ftn1</vt:lpstr>
      <vt:lpstr>NOTES!_ftnref1</vt:lpstr>
      <vt:lpstr>NOTES!OLE_LINK1</vt:lpstr>
      <vt:lpstr>NOTES!Print_Area</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davisp</dc:creator>
  <cp:lastModifiedBy>Kamran Niaz</cp:lastModifiedBy>
  <cp:lastPrinted>2020-01-27T15:16:26Z</cp:lastPrinted>
  <dcterms:created xsi:type="dcterms:W3CDTF">2013-01-23T11:15:58Z</dcterms:created>
  <dcterms:modified xsi:type="dcterms:W3CDTF">2020-06-18T14:18:13Z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0x010100244AD69E4966E34F99BC929C6415BC94</vt:lpwstr>
  </property>
</Properties>
</file>